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crochiptechnology-my.sharepoint.com/personal/robert_smith_microchip_com/Documents/Desktop/"/>
    </mc:Choice>
  </mc:AlternateContent>
  <xr:revisionPtr revIDLastSave="0" documentId="14_{6DD4447E-0E48-4E7D-9D78-3CD7C3CEC441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PIC32MZ" sheetId="7" r:id="rId1"/>
    <sheet name="PIC32MX" sheetId="5" r:id="rId2"/>
    <sheet name="MX OSC Block Diag" sheetId="6" r:id="rId3"/>
    <sheet name="MZ Osc Block Diag" sheetId="3" r:id="rId4"/>
    <sheet name="MZ Clock to Periph Table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8" i="7" l="1"/>
  <c r="F287" i="7"/>
  <c r="F289" i="7" s="1"/>
  <c r="G275" i="7"/>
  <c r="G273" i="7"/>
  <c r="G269" i="7"/>
  <c r="G268" i="7"/>
  <c r="G267" i="7"/>
  <c r="G266" i="7"/>
  <c r="G265" i="7"/>
  <c r="F263" i="7"/>
  <c r="F257" i="7"/>
  <c r="R241" i="7"/>
  <c r="Q241" i="7"/>
  <c r="S241" i="7" s="1"/>
  <c r="Q240" i="7"/>
  <c r="T230" i="7"/>
  <c r="F216" i="7"/>
  <c r="F215" i="7"/>
  <c r="F214" i="7"/>
  <c r="F213" i="7"/>
  <c r="F212" i="7"/>
  <c r="F211" i="7"/>
  <c r="F210" i="7"/>
  <c r="U209" i="7"/>
  <c r="T209" i="7"/>
  <c r="F209" i="7"/>
  <c r="U208" i="7"/>
  <c r="F208" i="7"/>
  <c r="U207" i="7"/>
  <c r="F207" i="7"/>
  <c r="U206" i="7"/>
  <c r="F206" i="7"/>
  <c r="U205" i="7"/>
  <c r="T205" i="7"/>
  <c r="F205" i="7"/>
  <c r="U204" i="7"/>
  <c r="T204" i="7"/>
  <c r="F204" i="7"/>
  <c r="U203" i="7"/>
  <c r="F203" i="7"/>
  <c r="F202" i="7"/>
  <c r="U201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29" i="7"/>
  <c r="F128" i="7"/>
  <c r="F127" i="7"/>
  <c r="F126" i="7"/>
  <c r="R125" i="7"/>
  <c r="F125" i="7"/>
  <c r="R124" i="7"/>
  <c r="F124" i="7"/>
  <c r="R123" i="7"/>
  <c r="F123" i="7"/>
  <c r="R122" i="7"/>
  <c r="F122" i="7"/>
  <c r="R121" i="7"/>
  <c r="F121" i="7"/>
  <c r="R120" i="7"/>
  <c r="F120" i="7"/>
  <c r="R119" i="7"/>
  <c r="F119" i="7"/>
  <c r="R118" i="7"/>
  <c r="R126" i="7" s="1"/>
  <c r="L12" i="7" s="1"/>
  <c r="M40" i="7" s="1"/>
  <c r="F118" i="7"/>
  <c r="K117" i="7"/>
  <c r="F117" i="7"/>
  <c r="K116" i="7"/>
  <c r="J116" i="7"/>
  <c r="F116" i="7"/>
  <c r="K115" i="7"/>
  <c r="J115" i="7"/>
  <c r="F115" i="7"/>
  <c r="K114" i="7"/>
  <c r="F114" i="7"/>
  <c r="F113" i="7"/>
  <c r="K112" i="7"/>
  <c r="F112" i="7"/>
  <c r="F111" i="7"/>
  <c r="F110" i="7"/>
  <c r="J109" i="7"/>
  <c r="F109" i="7"/>
  <c r="J108" i="7"/>
  <c r="F108" i="7"/>
  <c r="J107" i="7"/>
  <c r="F107" i="7"/>
  <c r="J106" i="7"/>
  <c r="F106" i="7"/>
  <c r="J105" i="7"/>
  <c r="J110" i="7" s="1"/>
  <c r="F105" i="7"/>
  <c r="F104" i="7"/>
  <c r="F103" i="7"/>
  <c r="J102" i="7"/>
  <c r="F102" i="7"/>
  <c r="J101" i="7"/>
  <c r="F101" i="7"/>
  <c r="J100" i="7"/>
  <c r="F100" i="7"/>
  <c r="J99" i="7"/>
  <c r="F99" i="7"/>
  <c r="J98" i="7"/>
  <c r="F98" i="7"/>
  <c r="J97" i="7"/>
  <c r="F97" i="7"/>
  <c r="J96" i="7"/>
  <c r="F96" i="7"/>
  <c r="J95" i="7"/>
  <c r="J103" i="7" s="1"/>
  <c r="F95" i="7"/>
  <c r="F94" i="7"/>
  <c r="F93" i="7"/>
  <c r="D93" i="7"/>
  <c r="D94" i="7" s="1"/>
  <c r="D95" i="7" s="1"/>
  <c r="D96" i="7" s="1"/>
  <c r="D97" i="7" s="1"/>
  <c r="D98" i="7" s="1"/>
  <c r="D99" i="7" s="1"/>
  <c r="D100" i="7" s="1"/>
  <c r="D101" i="7" s="1"/>
  <c r="D102" i="7" s="1"/>
  <c r="D103" i="7" s="1"/>
  <c r="D104" i="7" s="1"/>
  <c r="D105" i="7" s="1"/>
  <c r="D106" i="7" s="1"/>
  <c r="D107" i="7" s="1"/>
  <c r="D108" i="7" s="1"/>
  <c r="D109" i="7" s="1"/>
  <c r="D110" i="7" s="1"/>
  <c r="D111" i="7" s="1"/>
  <c r="D112" i="7" s="1"/>
  <c r="D113" i="7" s="1"/>
  <c r="D114" i="7" s="1"/>
  <c r="D115" i="7" s="1"/>
  <c r="D116" i="7" s="1"/>
  <c r="D117" i="7" s="1"/>
  <c r="D118" i="7" s="1"/>
  <c r="D119" i="7" s="1"/>
  <c r="D120" i="7" s="1"/>
  <c r="D121" i="7" s="1"/>
  <c r="D122" i="7" s="1"/>
  <c r="D123" i="7" s="1"/>
  <c r="D124" i="7" s="1"/>
  <c r="D125" i="7" s="1"/>
  <c r="D126" i="7" s="1"/>
  <c r="D127" i="7" s="1"/>
  <c r="D128" i="7" s="1"/>
  <c r="D129" i="7" s="1"/>
  <c r="D130" i="7" s="1"/>
  <c r="F92" i="7"/>
  <c r="D92" i="7"/>
  <c r="F91" i="7"/>
  <c r="D91" i="7"/>
  <c r="F90" i="7"/>
  <c r="F89" i="7"/>
  <c r="H74" i="7"/>
  <c r="H73" i="7"/>
  <c r="H72" i="7"/>
  <c r="H71" i="7"/>
  <c r="H70" i="7"/>
  <c r="M69" i="7"/>
  <c r="H69" i="7"/>
  <c r="H68" i="7"/>
  <c r="H65" i="7"/>
  <c r="H64" i="7"/>
  <c r="H63" i="7"/>
  <c r="H62" i="7"/>
  <c r="M50" i="7"/>
  <c r="T206" i="7" s="1"/>
  <c r="G46" i="7"/>
  <c r="R242" i="7" s="1"/>
  <c r="G25" i="7"/>
  <c r="F25" i="7"/>
  <c r="M63" i="7" s="1"/>
  <c r="F251" i="5"/>
  <c r="F250" i="5"/>
  <c r="F248" i="5"/>
  <c r="H245" i="5"/>
  <c r="G245" i="5"/>
  <c r="F245" i="5"/>
  <c r="G244" i="5"/>
  <c r="F244" i="5"/>
  <c r="G243" i="5"/>
  <c r="F243" i="5"/>
  <c r="G242" i="5"/>
  <c r="F242" i="5"/>
  <c r="F229" i="5"/>
  <c r="T220" i="5"/>
  <c r="U198" i="5"/>
  <c r="T198" i="5"/>
  <c r="U197" i="5"/>
  <c r="U196" i="5"/>
  <c r="U195" i="5"/>
  <c r="U194" i="5"/>
  <c r="U193" i="5"/>
  <c r="U192" i="5"/>
  <c r="U191" i="5"/>
  <c r="T190" i="5"/>
  <c r="U190" i="5" s="1"/>
  <c r="J157" i="5"/>
  <c r="J156" i="5"/>
  <c r="J155" i="5"/>
  <c r="J154" i="5"/>
  <c r="J142" i="5"/>
  <c r="J141" i="5"/>
  <c r="J140" i="5"/>
  <c r="J139" i="5"/>
  <c r="J138" i="5"/>
  <c r="J137" i="5"/>
  <c r="J136" i="5"/>
  <c r="J135" i="5"/>
  <c r="K132" i="5"/>
  <c r="K131" i="5"/>
  <c r="K130" i="5"/>
  <c r="J130" i="5"/>
  <c r="K129" i="5"/>
  <c r="K128" i="5"/>
  <c r="K127" i="5"/>
  <c r="R123" i="5"/>
  <c r="K125" i="5"/>
  <c r="R122" i="5"/>
  <c r="R121" i="5"/>
  <c r="R120" i="5"/>
  <c r="J122" i="5"/>
  <c r="R119" i="5"/>
  <c r="J121" i="5"/>
  <c r="R118" i="5"/>
  <c r="J120" i="5"/>
  <c r="R117" i="5"/>
  <c r="J119" i="5"/>
  <c r="R116" i="5"/>
  <c r="J118" i="5"/>
  <c r="J117" i="5"/>
  <c r="J116" i="5"/>
  <c r="J115" i="5"/>
  <c r="J112" i="5"/>
  <c r="J111" i="5"/>
  <c r="J110" i="5"/>
  <c r="J109" i="5"/>
  <c r="J108" i="5"/>
  <c r="J107" i="5"/>
  <c r="J106" i="5"/>
  <c r="J105" i="5"/>
  <c r="J101" i="5"/>
  <c r="J100" i="5"/>
  <c r="J99" i="5"/>
  <c r="J98" i="5"/>
  <c r="J97" i="5"/>
  <c r="J96" i="5"/>
  <c r="J95" i="5"/>
  <c r="J94" i="5"/>
  <c r="J91" i="5"/>
  <c r="K90" i="5"/>
  <c r="J90" i="5"/>
  <c r="K89" i="5"/>
  <c r="J89" i="5"/>
  <c r="K88" i="5"/>
  <c r="J88" i="5"/>
  <c r="H73" i="5"/>
  <c r="H72" i="5"/>
  <c r="H71" i="5"/>
  <c r="H70" i="5"/>
  <c r="H69" i="5"/>
  <c r="M67" i="5"/>
  <c r="T194" i="5" s="1"/>
  <c r="H66" i="5"/>
  <c r="H65" i="5"/>
  <c r="H64" i="5"/>
  <c r="H63" i="5"/>
  <c r="H62" i="5"/>
  <c r="M50" i="5"/>
  <c r="G46" i="5"/>
  <c r="J129" i="5" s="1"/>
  <c r="G25" i="5"/>
  <c r="I17" i="5"/>
  <c r="J20" i="5" s="1"/>
  <c r="F239" i="5" s="1"/>
  <c r="K14" i="5"/>
  <c r="T201" i="7" l="1"/>
  <c r="J112" i="7"/>
  <c r="D131" i="7"/>
  <c r="D132" i="7" s="1"/>
  <c r="D133" i="7" s="1"/>
  <c r="D134" i="7" s="1"/>
  <c r="D135" i="7" s="1"/>
  <c r="D136" i="7" s="1"/>
  <c r="D137" i="7" s="1"/>
  <c r="D138" i="7" s="1"/>
  <c r="D139" i="7" s="1"/>
  <c r="D140" i="7" s="1"/>
  <c r="D141" i="7" s="1"/>
  <c r="D142" i="7" s="1"/>
  <c r="D143" i="7" s="1"/>
  <c r="D144" i="7" s="1"/>
  <c r="D145" i="7" s="1"/>
  <c r="D146" i="7" s="1"/>
  <c r="D147" i="7" s="1"/>
  <c r="D148" i="7" s="1"/>
  <c r="D149" i="7" s="1"/>
  <c r="D150" i="7" s="1"/>
  <c r="D151" i="7" s="1"/>
  <c r="D152" i="7" s="1"/>
  <c r="D153" i="7" s="1"/>
  <c r="D154" i="7" s="1"/>
  <c r="D155" i="7" s="1"/>
  <c r="D156" i="7" s="1"/>
  <c r="D157" i="7" s="1"/>
  <c r="D158" i="7" s="1"/>
  <c r="D159" i="7" s="1"/>
  <c r="D160" i="7" s="1"/>
  <c r="D161" i="7" s="1"/>
  <c r="D162" i="7" s="1"/>
  <c r="D163" i="7" s="1"/>
  <c r="D164" i="7" s="1"/>
  <c r="D165" i="7" s="1"/>
  <c r="D166" i="7" s="1"/>
  <c r="D167" i="7" s="1"/>
  <c r="D168" i="7" s="1"/>
  <c r="D169" i="7" s="1"/>
  <c r="D170" i="7" s="1"/>
  <c r="D171" i="7" s="1"/>
  <c r="D172" i="7" s="1"/>
  <c r="D173" i="7" s="1"/>
  <c r="D174" i="7" s="1"/>
  <c r="D175" i="7" s="1"/>
  <c r="D176" i="7" s="1"/>
  <c r="D177" i="7" s="1"/>
  <c r="D178" i="7" s="1"/>
  <c r="D179" i="7" s="1"/>
  <c r="D180" i="7" s="1"/>
  <c r="D181" i="7" s="1"/>
  <c r="D182" i="7" s="1"/>
  <c r="D183" i="7" s="1"/>
  <c r="D184" i="7" s="1"/>
  <c r="D185" i="7" s="1"/>
  <c r="D186" i="7" s="1"/>
  <c r="D187" i="7" s="1"/>
  <c r="D188" i="7" s="1"/>
  <c r="D189" i="7" s="1"/>
  <c r="D190" i="7" s="1"/>
  <c r="D191" i="7" s="1"/>
  <c r="D192" i="7" s="1"/>
  <c r="D193" i="7" s="1"/>
  <c r="D194" i="7" s="1"/>
  <c r="D195" i="7" s="1"/>
  <c r="D196" i="7" s="1"/>
  <c r="D197" i="7" s="1"/>
  <c r="D198" i="7" s="1"/>
  <c r="D199" i="7" s="1"/>
  <c r="D200" i="7" s="1"/>
  <c r="D201" i="7" s="1"/>
  <c r="D202" i="7" s="1"/>
  <c r="D203" i="7" s="1"/>
  <c r="D204" i="7" s="1"/>
  <c r="D205" i="7" s="1"/>
  <c r="D206" i="7" s="1"/>
  <c r="D207" i="7" s="1"/>
  <c r="D208" i="7" s="1"/>
  <c r="D209" i="7" s="1"/>
  <c r="D210" i="7" s="1"/>
  <c r="D211" i="7" s="1"/>
  <c r="D212" i="7" s="1"/>
  <c r="D213" i="7" s="1"/>
  <c r="D214" i="7" s="1"/>
  <c r="D215" i="7" s="1"/>
  <c r="D216" i="7" s="1"/>
  <c r="F130" i="7"/>
  <c r="F217" i="7" s="1"/>
  <c r="F258" i="7"/>
  <c r="F261" i="7" s="1"/>
  <c r="J117" i="7"/>
  <c r="F259" i="7"/>
  <c r="F260" i="7"/>
  <c r="J19" i="7"/>
  <c r="M19" i="7" s="1"/>
  <c r="M44" i="7"/>
  <c r="Q242" i="7"/>
  <c r="S242" i="7" s="1"/>
  <c r="M52" i="5"/>
  <c r="M69" i="5"/>
  <c r="T195" i="5" s="1"/>
  <c r="H243" i="5"/>
  <c r="H244" i="5"/>
  <c r="F252" i="5"/>
  <c r="K92" i="5"/>
  <c r="F25" i="5" s="1"/>
  <c r="M42" i="5" s="1"/>
  <c r="H242" i="5"/>
  <c r="J102" i="5"/>
  <c r="M20" i="5" s="1"/>
  <c r="J158" i="5"/>
  <c r="J113" i="5"/>
  <c r="J123" i="5"/>
  <c r="R124" i="5"/>
  <c r="K12" i="5" s="1"/>
  <c r="M48" i="5" s="1"/>
  <c r="U199" i="5"/>
  <c r="O69" i="5" s="1"/>
  <c r="W68" i="5" s="1"/>
  <c r="J143" i="5"/>
  <c r="F238" i="5"/>
  <c r="T203" i="7" l="1"/>
  <c r="J114" i="7"/>
  <c r="F265" i="7"/>
  <c r="H265" i="7" s="1"/>
  <c r="P19" i="7"/>
  <c r="F267" i="7"/>
  <c r="H267" i="7" s="1"/>
  <c r="F269" i="7"/>
  <c r="H269" i="7" s="1"/>
  <c r="F268" i="7"/>
  <c r="H268" i="7" s="1"/>
  <c r="F266" i="7"/>
  <c r="H266" i="7" s="1"/>
  <c r="P20" i="5"/>
  <c r="U19" i="5" s="1"/>
  <c r="H246" i="5"/>
  <c r="F237" i="5"/>
  <c r="F240" i="5" s="1"/>
  <c r="J127" i="5"/>
  <c r="M63" i="5"/>
  <c r="T192" i="5" s="1"/>
  <c r="K33" i="5"/>
  <c r="M33" i="5" s="1"/>
  <c r="F234" i="5" s="1"/>
  <c r="J132" i="5"/>
  <c r="F273" i="7" l="1"/>
  <c r="H273" i="7" s="1"/>
  <c r="U18" i="7"/>
  <c r="H271" i="7"/>
  <c r="M61" i="5"/>
  <c r="T191" i="5" s="1"/>
  <c r="O33" i="5"/>
  <c r="Q33" i="5" s="1"/>
  <c r="R32" i="5" s="1"/>
  <c r="V31" i="5" s="1"/>
  <c r="F233" i="5"/>
  <c r="F235" i="5" s="1"/>
  <c r="M40" i="5"/>
  <c r="J128" i="5"/>
  <c r="J126" i="5"/>
  <c r="K126" i="5" s="1"/>
  <c r="K133" i="5" s="1"/>
  <c r="R49" i="5" s="1"/>
  <c r="M42" i="7" l="1"/>
  <c r="M61" i="7"/>
  <c r="F275" i="7"/>
  <c r="H275" i="7" s="1"/>
  <c r="M65" i="5"/>
  <c r="T193" i="5" s="1"/>
  <c r="M73" i="5"/>
  <c r="T197" i="5" s="1"/>
  <c r="S46" i="5"/>
  <c r="M71" i="5" s="1"/>
  <c r="T196" i="5" s="1"/>
  <c r="F231" i="5"/>
  <c r="T202" i="7" l="1"/>
  <c r="U202" i="7" s="1"/>
  <c r="U210" i="7" s="1"/>
  <c r="O69" i="7" s="1"/>
  <c r="W68" i="7" s="1"/>
  <c r="J113" i="7"/>
  <c r="K113" i="7" s="1"/>
  <c r="K118" i="7" s="1"/>
  <c r="R49" i="7" s="1"/>
  <c r="V37" i="7" s="1"/>
  <c r="F282" i="7" l="1"/>
  <c r="F277" i="7"/>
  <c r="V46" i="7"/>
  <c r="F285" i="7" s="1"/>
  <c r="V34" i="7"/>
  <c r="F281" i="7" s="1"/>
  <c r="V31" i="7"/>
  <c r="F280" i="7" s="1"/>
  <c r="M73" i="7"/>
  <c r="T208" i="7" s="1"/>
  <c r="V43" i="7"/>
  <c r="F284" i="7" s="1"/>
  <c r="V28" i="7"/>
  <c r="V40" i="7"/>
  <c r="F283" i="7" s="1"/>
  <c r="F279" i="7" l="1"/>
  <c r="M71" i="7"/>
  <c r="T207" i="7" s="1"/>
  <c r="I3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Smith - C13193</author>
  </authors>
  <commentList>
    <comment ref="F11" authorId="0" shapeId="0" xr:uid="{1F1F7E7D-7596-461A-A11D-A7C64594A1F3}">
      <text>
        <r>
          <rPr>
            <b/>
            <sz val="9"/>
            <color indexed="81"/>
            <rFont val="Tahoma"/>
            <family val="2"/>
          </rPr>
          <t>Typical:
+/- 0.9% (0 to 70C)
+/- 3% (-40 to 85C)
+/- 5% (-40 to 125C)</t>
        </r>
      </text>
    </comment>
    <comment ref="U18" authorId="0" shapeId="0" xr:uid="{5770DD28-D606-4871-B97C-B3C7BFA15984}">
      <text>
        <r>
          <rPr>
            <b/>
            <sz val="9"/>
            <color indexed="81"/>
            <rFont val="Tahoma"/>
            <family val="2"/>
          </rPr>
          <t>PLL output must be between 10 and 252 MHz unless PLL bypassed.</t>
        </r>
      </text>
    </comment>
    <comment ref="M19" authorId="0" shapeId="0" xr:uid="{8942935C-9B28-4A49-A59F-48D41F917F35}">
      <text>
        <r>
          <rPr>
            <b/>
            <sz val="9"/>
            <color indexed="81"/>
            <rFont val="Tahoma"/>
            <family val="2"/>
          </rPr>
          <t>Must be within PLL input range unless PLL bypassed (see FPLLRNG options).</t>
        </r>
      </text>
    </comment>
    <comment ref="P19" authorId="0" shapeId="0" xr:uid="{9146403C-3612-4F45-9DAC-E0B6365F3739}">
      <text>
        <r>
          <rPr>
            <b/>
            <sz val="9"/>
            <color indexed="81"/>
            <rFont val="Tahoma"/>
            <family val="2"/>
          </rPr>
          <t>PLL multiplier output must be between 350 and 700 MHz unless PLL bypassed.</t>
        </r>
      </text>
    </comment>
    <comment ref="E22" authorId="0" shapeId="0" xr:uid="{92D86A98-6E0A-4E86-A2E9-56E7DBC12E70}">
      <text>
        <r>
          <rPr>
            <b/>
            <sz val="9"/>
            <color indexed="81"/>
            <rFont val="Tahoma"/>
            <family val="2"/>
          </rPr>
          <t>Max external clock frequency is 64 MHz.</t>
        </r>
      </text>
    </comment>
    <comment ref="E23" authorId="0" shapeId="0" xr:uid="{8E4D338D-7B37-46AC-AB79-B8EAF0DF1F00}">
      <text>
        <r>
          <rPr>
            <b/>
            <sz val="9"/>
            <color indexed="81"/>
            <rFont val="Tahoma"/>
            <family val="2"/>
          </rPr>
          <t>External oscillator frequency must be between 4 and 32 MHz.</t>
        </r>
      </text>
    </comment>
    <comment ref="F25" authorId="0" shapeId="0" xr:uid="{C554B463-0D32-4906-9DCE-13C32999E431}">
      <text>
        <r>
          <rPr>
            <b/>
            <sz val="9"/>
            <color indexed="81"/>
            <rFont val="Tahoma"/>
            <family val="2"/>
          </rPr>
          <t>If using the USB peripheral, this frequency must be 12 or 24 MHz (determined by "UPLLFSEL").</t>
        </r>
      </text>
    </comment>
    <comment ref="V28" authorId="0" shapeId="0" xr:uid="{0ED09C56-1157-47FA-9D51-9543530E1027}">
      <text>
        <r>
          <rPr>
            <b/>
            <sz val="9"/>
            <color indexed="81"/>
            <rFont val="Tahoma"/>
            <family val="2"/>
          </rPr>
          <t>Peripheral Clock 1,2,3,5, and 8 must not be more than 100 MHz.</t>
        </r>
      </text>
    </comment>
    <comment ref="E31" authorId="0" shapeId="0" xr:uid="{1148EEAE-B6AE-46CA-B066-C6F0A5ABD93B}">
      <text>
        <r>
          <rPr>
            <b/>
            <sz val="9"/>
            <color indexed="81"/>
            <rFont val="Tahoma"/>
            <family val="2"/>
          </rPr>
          <t>Can not use this pin for clock output if it is needed for oscillator input (HS mode).</t>
        </r>
      </text>
    </comment>
    <comment ref="V31" authorId="0" shapeId="0" xr:uid="{EC9E00EE-CB7E-4524-ADEF-7C2A921569DE}">
      <text>
        <r>
          <rPr>
            <b/>
            <sz val="9"/>
            <color indexed="81"/>
            <rFont val="Tahoma"/>
            <family val="2"/>
          </rPr>
          <t>Peripheral Clock 1,2,3,5, and 8 must not be more than 100 MHz.</t>
        </r>
      </text>
    </comment>
    <comment ref="V34" authorId="0" shapeId="0" xr:uid="{5464A13E-4867-406F-B956-B3EF11083FE2}">
      <text>
        <r>
          <rPr>
            <b/>
            <sz val="9"/>
            <color indexed="81"/>
            <rFont val="Tahoma"/>
            <family val="2"/>
          </rPr>
          <t>Peripheral Clock 1,2,3,5, and 8 must not be more than 100 MHz.</t>
        </r>
      </text>
    </comment>
    <comment ref="V37" authorId="0" shapeId="0" xr:uid="{7B5E6A6C-9823-47FE-9298-9F0E5AB70037}">
      <text>
        <r>
          <rPr>
            <b/>
            <sz val="9"/>
            <color indexed="81"/>
            <rFont val="Tahoma"/>
            <family val="2"/>
          </rPr>
          <t>Peripheral Clock 4 must not be more than 200 MHz.</t>
        </r>
      </text>
    </comment>
    <comment ref="F38" authorId="0" shapeId="0" xr:uid="{F46BF6D3-D9E9-4944-91F3-7A6F8FF73E52}">
      <text>
        <r>
          <rPr>
            <b/>
            <sz val="9"/>
            <color indexed="81"/>
            <rFont val="Tahoma"/>
            <family val="2"/>
          </rPr>
          <t>Typical:
+/- 5% (-40 to 125C)</t>
        </r>
      </text>
    </comment>
    <comment ref="V40" authorId="0" shapeId="0" xr:uid="{1BE5864D-3EA2-430A-9364-1B580777EF78}">
      <text>
        <r>
          <rPr>
            <b/>
            <sz val="9"/>
            <color indexed="81"/>
            <rFont val="Tahoma"/>
            <family val="2"/>
          </rPr>
          <t>Peripheral Clock 1,2,3,5, and 8 must not be more than 100 MHz.</t>
        </r>
      </text>
    </comment>
    <comment ref="F42" authorId="0" shapeId="0" xr:uid="{336C80F4-47D2-4C99-BE3B-501083945FA5}">
      <text>
        <r>
          <rPr>
            <b/>
            <sz val="9"/>
            <color indexed="81"/>
            <rFont val="Tahoma"/>
            <family val="2"/>
          </rPr>
          <t>Typical:
32.768 KHz +/- 5% (-40 to 125)</t>
        </r>
      </text>
    </comment>
    <comment ref="V43" authorId="0" shapeId="0" xr:uid="{179DFBB2-0087-4562-B25E-4896E336AA1A}">
      <text>
        <r>
          <rPr>
            <b/>
            <sz val="9"/>
            <color indexed="81"/>
            <rFont val="Tahoma"/>
            <family val="2"/>
          </rPr>
          <t>Peripheral Clock 7 must not be more than 252 MHz.</t>
        </r>
      </text>
    </comment>
    <comment ref="E46" authorId="0" shapeId="0" xr:uid="{A0ECA7AD-6A18-41A0-B884-B13477B467F8}">
      <text>
        <r>
          <rPr>
            <b/>
            <sz val="9"/>
            <color indexed="81"/>
            <rFont val="Tahoma"/>
            <family val="2"/>
          </rPr>
          <t>SOSC must be between 32KHz and 100KHz.</t>
        </r>
      </text>
    </comment>
    <comment ref="V46" authorId="0" shapeId="0" xr:uid="{5BC8C9BF-DA0B-4DF9-8E4E-1736EBAD62B8}">
      <text>
        <r>
          <rPr>
            <b/>
            <sz val="9"/>
            <color indexed="81"/>
            <rFont val="Tahoma"/>
            <family val="2"/>
          </rPr>
          <t>Peripheral Clock 1,2,3,5, and 8 must not be more than 100 MHz.</t>
        </r>
      </text>
    </comment>
    <comment ref="R49" authorId="0" shapeId="0" xr:uid="{558C2BA6-BBA3-4E1C-B9B4-1054F071B261}">
      <text>
        <r>
          <rPr>
            <b/>
            <sz val="9"/>
            <color indexed="81"/>
            <rFont val="Tahoma"/>
            <family val="2"/>
          </rPr>
          <t>System Clock must not be more than 252 MHz.</t>
        </r>
      </text>
    </comment>
    <comment ref="W68" authorId="0" shapeId="0" xr:uid="{113B5484-0742-4BC9-8B4E-54BE287AF3C4}">
      <text>
        <r>
          <rPr>
            <b/>
            <sz val="9"/>
            <color indexed="81"/>
            <rFont val="Tahoma"/>
            <family val="2"/>
          </rPr>
          <t>REFCLK output = 50 MHz max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Smith - C13193</author>
  </authors>
  <commentList>
    <comment ref="F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Typical:
+/- 0.9% (-40 to 85C)</t>
        </r>
      </text>
    </comment>
    <comment ref="I1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On reset the FNOSC setting is copied to the Current Oscillator (COSC) setting.  COSC can be changed at run-time, but the PLL input divide can not.  If you want to change COSC at run-time, POSC must be 8 to 10 MHz to satisfy PLL multiplier input requirements.</t>
        </r>
      </text>
    </comment>
    <comment ref="U1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Ensure this frequency does not exceed the maximum clock frequency for the device.</t>
        </r>
      </text>
    </comment>
    <comment ref="J2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Input to the PLL is determined by the current SYSCLK selection (COSC).  If COSC is not equal to PRIPLL or FRCPLL, the input is invalid.</t>
        </r>
      </text>
    </comment>
    <comment ref="M2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Must be between 4 and 5 MHz</t>
        </r>
      </text>
    </comment>
    <comment ref="E2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Max external clock frequency is 40 to 100 MHz depending on device (see data sheet).</t>
        </r>
      </text>
    </comment>
    <comment ref="E2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External oscillator frequency range:
XT:           3 - 10 MHz
XTPLL:    4 - 10 MHz
HS:        10 - 25 MHz
HSPLL: 10 - 25 MHz</t>
        </r>
      </text>
    </comment>
    <comment ref="E3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Can not use this pin for clock output if it is needed for oscillator input (HS mode).</t>
        </r>
      </text>
    </comment>
    <comment ref="G4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Typical:
31.25 KHz +/- 15% (-40 to 85)</t>
        </r>
      </text>
    </comment>
    <comment ref="E4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SOSC must be between 32KHz and 100KHz.</t>
        </r>
      </text>
    </comment>
    <comment ref="R4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Ensure this frequency does not exceed the maximum clock frequency for the device.</t>
        </r>
      </text>
    </comment>
  </commentList>
</comments>
</file>

<file path=xl/sharedStrings.xml><?xml version="1.0" encoding="utf-8"?>
<sst xmlns="http://schemas.openxmlformats.org/spreadsheetml/2006/main" count="951" uniqueCount="453">
  <si>
    <t>ON</t>
  </si>
  <si>
    <t>DIV_8</t>
  </si>
  <si>
    <t>PLL_FRC</t>
  </si>
  <si>
    <t>MUL_128</t>
  </si>
  <si>
    <t>DIV_2</t>
  </si>
  <si>
    <t>FREQ_24MHZ</t>
  </si>
  <si>
    <t>FRCDIV</t>
  </si>
  <si>
    <t>OFF</t>
  </si>
  <si>
    <t>#pragma config FNOSC =</t>
  </si>
  <si>
    <t>#pragma config FSOSCEN =</t>
  </si>
  <si>
    <t>#pragma config POSCMOD =</t>
  </si>
  <si>
    <t>#pragma config OSCIOFNC =</t>
  </si>
  <si>
    <t>#pragma config FPLLODIV =</t>
  </si>
  <si>
    <t>// Device Config Bits in  DEVCFG1:</t>
  </si>
  <si>
    <t>// Device Config Bits in  DEVCFG2:</t>
  </si>
  <si>
    <t>#pragma config FPLLMULT =</t>
  </si>
  <si>
    <t>#pragma config FPLLICLK =</t>
  </si>
  <si>
    <t>#pragma config FPLLRNG =</t>
  </si>
  <si>
    <t>#pragma config FPLLIDIV =</t>
  </si>
  <si>
    <t>DIV_32</t>
  </si>
  <si>
    <t>RANGE_8_16_MHZ</t>
  </si>
  <si>
    <t>POSC</t>
  </si>
  <si>
    <t>MHz</t>
  </si>
  <si>
    <t>POSCMOD =</t>
  </si>
  <si>
    <t>FPLLICLK =</t>
  </si>
  <si>
    <t>FPLLIDIV =</t>
  </si>
  <si>
    <t>FPLLMULT =</t>
  </si>
  <si>
    <t>FPLLODIV =</t>
  </si>
  <si>
    <t>SPLL</t>
  </si>
  <si>
    <t>EC</t>
  </si>
  <si>
    <t>HS</t>
  </si>
  <si>
    <t>PLL_POSC</t>
  </si>
  <si>
    <t>DIV_1</t>
  </si>
  <si>
    <t>DIV_3</t>
  </si>
  <si>
    <t>DIV_4</t>
  </si>
  <si>
    <t>DIV_5</t>
  </si>
  <si>
    <t>DIV_6</t>
  </si>
  <si>
    <t>DIV_7</t>
  </si>
  <si>
    <t>MUL_1</t>
  </si>
  <si>
    <t>MUL_2</t>
  </si>
  <si>
    <t>DIV_16</t>
  </si>
  <si>
    <t>FNOSC =</t>
  </si>
  <si>
    <t>SOSC</t>
  </si>
  <si>
    <t>LPRC</t>
  </si>
  <si>
    <t>OSC1/</t>
  </si>
  <si>
    <t>CLKI</t>
  </si>
  <si>
    <t>OSC2/</t>
  </si>
  <si>
    <t>CLKO</t>
  </si>
  <si>
    <t>KHz</t>
  </si>
  <si>
    <t>FPLLRNG =</t>
  </si>
  <si>
    <t>Bypass</t>
  </si>
  <si>
    <t>MUL_3</t>
  </si>
  <si>
    <t>MUL_4</t>
  </si>
  <si>
    <t>MUL_5</t>
  </si>
  <si>
    <t>MUL_6</t>
  </si>
  <si>
    <t>MUL_7</t>
  </si>
  <si>
    <t>MUL_8</t>
  </si>
  <si>
    <t>MUL_9</t>
  </si>
  <si>
    <t>MUL_10</t>
  </si>
  <si>
    <t>MUL_11</t>
  </si>
  <si>
    <t>MUL_12</t>
  </si>
  <si>
    <t>MUL_13</t>
  </si>
  <si>
    <t>MUL_14</t>
  </si>
  <si>
    <t>MUL_15</t>
  </si>
  <si>
    <t>MUL_16</t>
  </si>
  <si>
    <t>MUL_17</t>
  </si>
  <si>
    <t>MUL_18</t>
  </si>
  <si>
    <t>MUL_19</t>
  </si>
  <si>
    <t>MUL_20</t>
  </si>
  <si>
    <t>MUL_21</t>
  </si>
  <si>
    <t>MUL_22</t>
  </si>
  <si>
    <t>MUL_23</t>
  </si>
  <si>
    <t>MUL_24</t>
  </si>
  <si>
    <t>MUL_25</t>
  </si>
  <si>
    <t>MUL_26</t>
  </si>
  <si>
    <t>MUL_27</t>
  </si>
  <si>
    <t>MUL_28</t>
  </si>
  <si>
    <t>MUL_29</t>
  </si>
  <si>
    <t>MUL_30</t>
  </si>
  <si>
    <t>MUL_31</t>
  </si>
  <si>
    <t>MUL_32</t>
  </si>
  <si>
    <t>MUL_34</t>
  </si>
  <si>
    <t>MUL_33</t>
  </si>
  <si>
    <t>MUL_39</t>
  </si>
  <si>
    <t>MUL_35</t>
  </si>
  <si>
    <t>MUL_36</t>
  </si>
  <si>
    <t>MUL_37</t>
  </si>
  <si>
    <t>MUL_38</t>
  </si>
  <si>
    <t>MUL_40</t>
  </si>
  <si>
    <t>MUL_41</t>
  </si>
  <si>
    <t>MUL_42</t>
  </si>
  <si>
    <t>MUL_43</t>
  </si>
  <si>
    <t>MUL_44</t>
  </si>
  <si>
    <t>MUL_45</t>
  </si>
  <si>
    <t>MUL_46</t>
  </si>
  <si>
    <t>MUL_47</t>
  </si>
  <si>
    <t>MUL_48</t>
  </si>
  <si>
    <t>MUL_49</t>
  </si>
  <si>
    <t>MUL_50</t>
  </si>
  <si>
    <t>MUL_51</t>
  </si>
  <si>
    <t>MUL_52</t>
  </si>
  <si>
    <t>MUL_53</t>
  </si>
  <si>
    <t>MUL_54</t>
  </si>
  <si>
    <t>MUL_55</t>
  </si>
  <si>
    <t>MUL_56</t>
  </si>
  <si>
    <t>MUL_57</t>
  </si>
  <si>
    <t>MUL_58</t>
  </si>
  <si>
    <t>MUL_59</t>
  </si>
  <si>
    <t>MUL_60</t>
  </si>
  <si>
    <t>MUL_61</t>
  </si>
  <si>
    <t>MUL_62</t>
  </si>
  <si>
    <t>MUL_63</t>
  </si>
  <si>
    <t>MUL_64</t>
  </si>
  <si>
    <t>MUL_65</t>
  </si>
  <si>
    <t>MUL_66</t>
  </si>
  <si>
    <t>MUL_67</t>
  </si>
  <si>
    <t>MUL_68</t>
  </si>
  <si>
    <t>MUL_69</t>
  </si>
  <si>
    <t>MUL_70</t>
  </si>
  <si>
    <t>MUL_71</t>
  </si>
  <si>
    <t>MUL_72</t>
  </si>
  <si>
    <t>MUL_73</t>
  </si>
  <si>
    <t>MUL_74</t>
  </si>
  <si>
    <t>MUL_75</t>
  </si>
  <si>
    <t>MUL_76</t>
  </si>
  <si>
    <t>MUL_77</t>
  </si>
  <si>
    <t>MUL_78</t>
  </si>
  <si>
    <t>MUL_79</t>
  </si>
  <si>
    <t>MUL_80</t>
  </si>
  <si>
    <t>MUL_81</t>
  </si>
  <si>
    <t>MUL_82</t>
  </si>
  <si>
    <t>MUL_83</t>
  </si>
  <si>
    <t>MUL_84</t>
  </si>
  <si>
    <t>MUL_85</t>
  </si>
  <si>
    <t>MUL_86</t>
  </si>
  <si>
    <t>MUL_87</t>
  </si>
  <si>
    <t>MUL_88</t>
  </si>
  <si>
    <t>MUL_89</t>
  </si>
  <si>
    <t>MUL_90</t>
  </si>
  <si>
    <t>MUL_91</t>
  </si>
  <si>
    <t>MUL_92</t>
  </si>
  <si>
    <t>MUL_93</t>
  </si>
  <si>
    <t>MUL_94</t>
  </si>
  <si>
    <t>MUL_95</t>
  </si>
  <si>
    <t>MUL_96</t>
  </si>
  <si>
    <t>MUL_97</t>
  </si>
  <si>
    <t>MUL_98</t>
  </si>
  <si>
    <t>MUL_99</t>
  </si>
  <si>
    <t>MUL_100</t>
  </si>
  <si>
    <t>MUL_101</t>
  </si>
  <si>
    <t>MUL_102</t>
  </si>
  <si>
    <t>MUL_103</t>
  </si>
  <si>
    <t>MUL_104</t>
  </si>
  <si>
    <t>MUL_105</t>
  </si>
  <si>
    <t>MUL_106</t>
  </si>
  <si>
    <t>MUL_107</t>
  </si>
  <si>
    <t>MUL_108</t>
  </si>
  <si>
    <t>MUL_109</t>
  </si>
  <si>
    <t>MUL_110</t>
  </si>
  <si>
    <t>MUL_111</t>
  </si>
  <si>
    <t>MUL_112</t>
  </si>
  <si>
    <t>MUL_113</t>
  </si>
  <si>
    <t>MUL_114</t>
  </si>
  <si>
    <t>MUL_115</t>
  </si>
  <si>
    <t>MUL_116</t>
  </si>
  <si>
    <t>MUL_117</t>
  </si>
  <si>
    <t>MUL_118</t>
  </si>
  <si>
    <t>MUL_119</t>
  </si>
  <si>
    <t>MUL_120</t>
  </si>
  <si>
    <t>MUL_121</t>
  </si>
  <si>
    <t>MUL_122</t>
  </si>
  <si>
    <t>MUL_123</t>
  </si>
  <si>
    <t>MUL_124</t>
  </si>
  <si>
    <t>MUL_125</t>
  </si>
  <si>
    <t>MUL_126</t>
  </si>
  <si>
    <t>MUL_127</t>
  </si>
  <si>
    <t>OSC_FRC_DIV_1</t>
  </si>
  <si>
    <t>OSC_FRC_DIV_2</t>
  </si>
  <si>
    <t>OSC_FRC_DIV_4</t>
  </si>
  <si>
    <t>OSC_FRC_DIV_8</t>
  </si>
  <si>
    <t>OSC_FRC_DIV_16</t>
  </si>
  <si>
    <t>OSC_FRC_DIV_32</t>
  </si>
  <si>
    <t>OSC_FRC_DIV_64</t>
  </si>
  <si>
    <t>OSC_FRC_DIV_256</t>
  </si>
  <si>
    <t>divisorFRC =</t>
  </si>
  <si>
    <t>tuningValue = +\- 12.5%</t>
  </si>
  <si>
    <t>UPLLFSEL =</t>
  </si>
  <si>
    <t>UPLLEN =</t>
  </si>
  <si>
    <t>#pragma config UPLLEN =</t>
  </si>
  <si>
    <t>#pragma config UPLLFSEL =</t>
  </si>
  <si>
    <t>FREQ_12MHZ</t>
  </si>
  <si>
    <t>SOSCO</t>
  </si>
  <si>
    <t>SOSCI</t>
  </si>
  <si>
    <t>FSOSCEN =</t>
  </si>
  <si>
    <t>OSCIOFNC =</t>
  </si>
  <si>
    <t>BFRC</t>
  </si>
  <si>
    <t>PLIB_OSC_PBClockDivisorSet (OSC_ID_0, OSC_PERIPHERAL_BUS_x, peripheralBusClkDiv);</t>
  </si>
  <si>
    <t>PLIB_OSC_FRCTuningSelect(OSC_ID_0, tuningValue);</t>
  </si>
  <si>
    <t>peripheralBusClkDiv =</t>
  </si>
  <si>
    <t>PIC32MZ Oscillator Configuration</t>
  </si>
  <si>
    <t>Notes:</t>
  </si>
  <si>
    <t>1)  Settings that produce red cells are invalid</t>
  </si>
  <si>
    <t>2)  See device data sheet for details.</t>
  </si>
  <si>
    <t>Symbol</t>
  </si>
  <si>
    <t>Minimum</t>
  </si>
  <si>
    <t>Maximum</t>
  </si>
  <si>
    <t>Units</t>
  </si>
  <si>
    <t>Param. #</t>
  </si>
  <si>
    <t>OS10</t>
  </si>
  <si>
    <t>FOSC</t>
  </si>
  <si>
    <t>External CLKI Frequency</t>
  </si>
  <si>
    <t>Conditions</t>
  </si>
  <si>
    <t>OS13</t>
  </si>
  <si>
    <t>OS15</t>
  </si>
  <si>
    <t>Sosc</t>
  </si>
  <si>
    <t>FSYS</t>
  </si>
  <si>
    <t>System Frequency</t>
  </si>
  <si>
    <t>FPB</t>
  </si>
  <si>
    <t>Peripheral Bus Frequency</t>
  </si>
  <si>
    <t>For PBCLK7</t>
  </si>
  <si>
    <t>FREF</t>
  </si>
  <si>
    <t>Reference Clock Frequency</t>
  </si>
  <si>
    <t>--</t>
  </si>
  <si>
    <t>Oscillator Crystal Frequency</t>
  </si>
  <si>
    <t>OS50</t>
  </si>
  <si>
    <t>FIN</t>
  </si>
  <si>
    <t>PLL Input Frequency Range</t>
  </si>
  <si>
    <t>ECPLL, HSPLL, FRCPLL modes</t>
  </si>
  <si>
    <t>OS54</t>
  </si>
  <si>
    <t>FVCO</t>
  </si>
  <si>
    <t>PLL VCO Frequency Range</t>
  </si>
  <si>
    <t>FPLL</t>
  </si>
  <si>
    <t>PLL Output Frequency Range</t>
  </si>
  <si>
    <t>F25</t>
  </si>
  <si>
    <t>cell #:</t>
  </si>
  <si>
    <t>Cell formatting logic to find invalid input (false = no problem):</t>
  </si>
  <si>
    <t>E31</t>
  </si>
  <si>
    <t>M19</t>
  </si>
  <si>
    <t>Is USB being used?</t>
  </si>
  <si>
    <t>Is input freq not equal to 12 or 24 MHz?</t>
  </si>
  <si>
    <t>Is usb PLL configured for 24 MHz?</t>
  </si>
  <si>
    <t>Is usb PLL configured for 12 MHz?</t>
  </si>
  <si>
    <t>Is there a problem?</t>
  </si>
  <si>
    <t>Is OSC2 needed for crystal input (can't be used as clock out)?</t>
  </si>
  <si>
    <t>P19</t>
  </si>
  <si>
    <t>U18</t>
  </si>
  <si>
    <t>Is PLL multiplier output not between 350 and 700 MHz?</t>
  </si>
  <si>
    <t>Device configuration bit options:</t>
  </si>
  <si>
    <t>Bit Name</t>
  </si>
  <si>
    <t>Setting Options</t>
  </si>
  <si>
    <t>Symbol Name</t>
  </si>
  <si>
    <t>V28</t>
  </si>
  <si>
    <t>V34</t>
  </si>
  <si>
    <t>V40</t>
  </si>
  <si>
    <t>Is PBCLK1 &gt;100?</t>
  </si>
  <si>
    <t>Is PBCLK2 &gt;100?</t>
  </si>
  <si>
    <t>Is PBCLK3 &gt;100?</t>
  </si>
  <si>
    <t>Is PBCLK5 &gt;100?</t>
  </si>
  <si>
    <t>Is PBCLK8 &gt;100?</t>
  </si>
  <si>
    <t>V31</t>
  </si>
  <si>
    <t>V37</t>
  </si>
  <si>
    <t>V43</t>
  </si>
  <si>
    <t>V46</t>
  </si>
  <si>
    <t>R49</t>
  </si>
  <si>
    <t>Harmony Function Parameters</t>
  </si>
  <si>
    <t>divisorFRC (used in PLIB_OSC_FRCDivisorSelect) (controls OSCCON: FRCDIV&lt;2:0&gt;)</t>
  </si>
  <si>
    <t>OSC_FRC_BY_FRCDIV</t>
  </si>
  <si>
    <t>newOsc</t>
  </si>
  <si>
    <t>peripheralBusNumber</t>
  </si>
  <si>
    <t>OSC_PERIPHERAL_BUS_1</t>
  </si>
  <si>
    <t>OSC_PERIPHERAL_BUS_2</t>
  </si>
  <si>
    <t>OSC_PERIPHERAL_BUS_3</t>
  </si>
  <si>
    <t>OSC_PERIPHERAL_BUS_4</t>
  </si>
  <si>
    <t>OSC_PERIPHERAL_BUS_5</t>
  </si>
  <si>
    <t>OSC_PERIPHERAL_BUS_7</t>
  </si>
  <si>
    <t>OSC_PERIPHERAL_BUS_8</t>
  </si>
  <si>
    <t>OSC_PLL_USB</t>
  </si>
  <si>
    <t>OSC_PLL_SYSTEM</t>
  </si>
  <si>
    <t>OSC_FRC</t>
  </si>
  <si>
    <t>OSC_FRC_WITH_PLL</t>
  </si>
  <si>
    <t>OSC_PRIMARY</t>
  </si>
  <si>
    <t>OSC_PRIMARY_WITH_PLL</t>
  </si>
  <si>
    <t>OSC_SECONDARY</t>
  </si>
  <si>
    <t>OSC_LPRC</t>
  </si>
  <si>
    <t>OSC_FRC_DIV_BY_16</t>
  </si>
  <si>
    <t>selectPLL</t>
  </si>
  <si>
    <t>PLLFrequencyRange</t>
  </si>
  <si>
    <t>OSC_SYSPLL_FREQ_RANGE_BYPASS,</t>
  </si>
  <si>
    <t>OSC_SYSPLL_FREQ_RANGE_34M_TO_68M</t>
  </si>
  <si>
    <t>OSC_SYSPLL_FREQ_RANGE_5M_TO_10M</t>
  </si>
  <si>
    <t>OSC_SYSPLL_FREQ_RANGE_8M_TO_16M</t>
  </si>
  <si>
    <t>OSC_SYSPLL_FREQ_RANGE_13M_TO_26M</t>
  </si>
  <si>
    <t>OSC_SYSPLL_FREQ_RANGE_21M_TO_42M</t>
  </si>
  <si>
    <t>PLLInClockSource</t>
  </si>
  <si>
    <t>OSC_SYSPLL_IN_CLK_SOURCE_PRIMARY</t>
  </si>
  <si>
    <t>OSC_SYSPLL_IN_CLK_SOURCE_FRC</t>
  </si>
  <si>
    <t>PLLInDiv</t>
  </si>
  <si>
    <t>OSC_SYSPLL_IN_DIV_8</t>
  </si>
  <si>
    <t>OSC_SYSPLL_IN_DIV_1</t>
  </si>
  <si>
    <t>OSC_SYSPLL_IN_DIV_2</t>
  </si>
  <si>
    <t>OSC_SYSPLL_IN_DIV_3</t>
  </si>
  <si>
    <t>OSC_SYSPLL_IN_DIV_4</t>
  </si>
  <si>
    <t>OSC_SYSPLL_IN_DIV_5</t>
  </si>
  <si>
    <t>OSC_SYSPLL_IN_DIV_6</t>
  </si>
  <si>
    <t>OSC_SYSPLL_IN_DIV_7</t>
  </si>
  <si>
    <t>pll_multiplier</t>
  </si>
  <si>
    <t>…</t>
  </si>
  <si>
    <t>OSC_SYSPLL_OUT_DIV_256</t>
  </si>
  <si>
    <t>PLLOutDiv</t>
  </si>
  <si>
    <t>OSC_SYSPLL_OUT_DIV_1</t>
  </si>
  <si>
    <t>OSC_SYSPLL_OUT_DIV_2</t>
  </si>
  <si>
    <t>OSC_SYSPLL_OUT_DIV_4</t>
  </si>
  <si>
    <t>OSC_SYSPLL_OUT_DIV_8</t>
  </si>
  <si>
    <t>OSC_SYSPLL_OUT_DIV_16</t>
  </si>
  <si>
    <t>OSC_SYSPLL_OUT_DIV_32</t>
  </si>
  <si>
    <t>OSC_SYSPLL_OUT_DIV_64</t>
  </si>
  <si>
    <t>peripheralBusClkDiv</t>
  </si>
  <si>
    <t>tuningValue</t>
  </si>
  <si>
    <t>PLIB_OSC_SysPLLFrequencyRangeSet(OSC_ID_0, PLLFrequencyRange);    //default value set by FPLLRNG</t>
  </si>
  <si>
    <t>PLIB_OSC_SysPLLInputClockSourceSet(OSC_ID_0, PLLInClockSource);        //default value set by FPLLICLK</t>
  </si>
  <si>
    <t>PLIB_OSC_SysPLLInputDivisorSet(OSC_ID_0, PLLInDiv);                                 //default value set by FPLLIDIV</t>
  </si>
  <si>
    <t>PLIB_OSC_SysPLLMultiplierSelect(OSC_ID_0, pll_multiplier);                           //default value set by FPLLMULT</t>
  </si>
  <si>
    <t>PLIB_OSC_SysPLLOutputDivisorSet(OSC_ID_0, PLLOutDiv);                           //default value set by FPLLODIV</t>
  </si>
  <si>
    <t>PLIB_OSC_PLLDisable(OSC_ID_0, selectPLL);                                                 //disables USB or System PLL</t>
  </si>
  <si>
    <t>PLIB_OSC_SecondaryEnable(OSC_ID_0);                                                         //default value set by FSOSCEN</t>
  </si>
  <si>
    <t>PLIB_OSC_SecondaryDisable(OSC_ID_0);                                                        //default value set by FSOSCEN</t>
  </si>
  <si>
    <t>PLIB_OSC_SysClockSelect(OSC_ID_0, newOsc);                                              //default value set by FNOSC</t>
  </si>
  <si>
    <t>PLIB_OSC_PBOutputClockEnable (OSC_ID_0, peripheralBusNumber);        //controls "ON" bit in PBxDIV register</t>
  </si>
  <si>
    <t>PLIB_OSC_PBOutputClockDisable (OSC_ID_0, peripheralBusNumber);       //controls "ON" bit in PBxDIV register</t>
  </si>
  <si>
    <t>PLIB_OSC_PLLEnable(OSC_ID_0, selectPLL);                                                  //enables USB or System PLL</t>
  </si>
  <si>
    <t>PLIB_OSC_ReferenceOscBaseClockSelect (OSC_ID_0, OSC_REFERENCE_1, refOscBaseClock);</t>
  </si>
  <si>
    <t>refOscBaseClock</t>
  </si>
  <si>
    <t>OSC_REF_BASECLOCK_EXT</t>
  </si>
  <si>
    <t>OSC_REF_BASECLOCK_SYSCLK</t>
  </si>
  <si>
    <t>OSC_REF_BASECLOCK_PBCLK</t>
  </si>
  <si>
    <t>OSC_REF_BASECLOCK_PRIMARY</t>
  </si>
  <si>
    <t>OSC_REF_BASECLOCK_FRC</t>
  </si>
  <si>
    <t>OSC_REF_BASECLOCK_LPRC</t>
  </si>
  <si>
    <t>OSC_REF_BASECLOCK_SOSC</t>
  </si>
  <si>
    <t>OSC_REF_BASECLOCK_SYSPLLOUT</t>
  </si>
  <si>
    <t>PLIB_OSC_ReferenceOscDisable(OSC_ID_0, OSC_REFERENCE_1);</t>
  </si>
  <si>
    <t>PLIB_OSC_ReferenceOscEnable(OSC_ID_0, OSC_REFERENCE_1);</t>
  </si>
  <si>
    <t>PLIB_OSC_ReferenceOscDivisorValueSet(OSC_ID_0, OSC_REFERENCE_1, refOscDiv);</t>
  </si>
  <si>
    <t>refOscDiv</t>
  </si>
  <si>
    <t>OSC_REF_DIV_32768</t>
  </si>
  <si>
    <t>OSC_REF_DIV_1</t>
  </si>
  <si>
    <t>OSC_REF_DIV_2</t>
  </si>
  <si>
    <t>OSC_REF_DIV_4</t>
  </si>
  <si>
    <t>OSC_REF_DIV_8</t>
  </si>
  <si>
    <t>OSC_REF_DIV_16</t>
  </si>
  <si>
    <t>OSC_REF_DIV_32</t>
  </si>
  <si>
    <t>OSC_REF_DIV_64</t>
  </si>
  <si>
    <t>OSC_REF_DIV_128</t>
  </si>
  <si>
    <t>OSC_REF_DIV_256</t>
  </si>
  <si>
    <t>OSC_REF_DIV_512</t>
  </si>
  <si>
    <t>OSC_REF_DIV_1024</t>
  </si>
  <si>
    <t>OSC_REF_DIV_2048</t>
  </si>
  <si>
    <t>OSC_REF_DIV_4096</t>
  </si>
  <si>
    <t>OSC_REF_DIV_8192</t>
  </si>
  <si>
    <t>OSC_REF_DIV_16384</t>
  </si>
  <si>
    <t>PLIB_OSC_ReferenceOscTrimSet(OSC_ID_0, OSC_REFERENCE_1, trimValue);</t>
  </si>
  <si>
    <t>trimValue</t>
  </si>
  <si>
    <t>PLIB_OSC_ReferenceOutputDisable(OSC_ID_0, OSC_REFERENCE_1);</t>
  </si>
  <si>
    <t>PLIB_OSC_ReferenceOutputEnable(OSC_ID_0, OSC_REFERENCE_1);</t>
  </si>
  <si>
    <t>trimValue =</t>
  </si>
  <si>
    <t>refOscDiv =</t>
  </si>
  <si>
    <t>refOscBaseClock =</t>
  </si>
  <si>
    <t>OSC_REF_BASECLOCK_BFRC</t>
  </si>
  <si>
    <t>refOscDiv + trimValue =</t>
  </si>
  <si>
    <t>(this is a 15 bit field that can hold values from 1 to 32768)</t>
  </si>
  <si>
    <t>x = 1, 3, 4 (REFCLK2 is internal only)</t>
  </si>
  <si>
    <t xml:space="preserve">External Clock Freq = </t>
  </si>
  <si>
    <t xml:space="preserve">External Crystal Freq = </t>
  </si>
  <si>
    <t>Is input to PLL outside of this range:?</t>
  </si>
  <si>
    <t>PLIB_OSC_FRCDivisorSelect (OSC_ID_0, divisorFRC);</t>
  </si>
  <si>
    <t>RANGE_5_10_MHZ</t>
  </si>
  <si>
    <t>RANGE_34_64_MHZ</t>
  </si>
  <si>
    <t>RANGE_21_42_MHZ</t>
  </si>
  <si>
    <t>RANGE_13_26_MHZ</t>
  </si>
  <si>
    <t>E46</t>
  </si>
  <si>
    <t>Is SOSC &lt; 32KHz?</t>
  </si>
  <si>
    <t>Is SOSC &gt; 100KHz?</t>
  </si>
  <si>
    <t>Is tthere a problem?</t>
  </si>
  <si>
    <t>3)  Password to unprotect = "microchip"</t>
  </si>
  <si>
    <t>PIC32MX Oscillator Configuration</t>
  </si>
  <si>
    <t>1)  Settings that produce red cells are invalid.</t>
  </si>
  <si>
    <t>COSC =</t>
  </si>
  <si>
    <t>FPLLMUL =</t>
  </si>
  <si>
    <t>usbClock=</t>
  </si>
  <si>
    <t>SYS_OSC_USBCLK_PRIMARY</t>
  </si>
  <si>
    <t>UPLLIDIV=</t>
  </si>
  <si>
    <t>UPLLEN=</t>
  </si>
  <si>
    <t>FPBDIV =</t>
  </si>
  <si>
    <t>FRCPLL</t>
  </si>
  <si>
    <t>#pragma config FPBDIV =</t>
  </si>
  <si>
    <t>#pragma config FPLLMUL =</t>
  </si>
  <si>
    <t>#pragma config UPLLIDIV =</t>
  </si>
  <si>
    <t>XT</t>
  </si>
  <si>
    <t>PLIB_OSC_UsbClockSourceSelect(OSC_ID_0, usbClock);       // selects the Primary or FRC as base for USB clock</t>
  </si>
  <si>
    <t>DIV_10</t>
  </si>
  <si>
    <t>DIV_12</t>
  </si>
  <si>
    <t>DIV_64</t>
  </si>
  <si>
    <t>DIV_256</t>
  </si>
  <si>
    <t>FRC</t>
  </si>
  <si>
    <t>PRI</t>
  </si>
  <si>
    <t>PRIPLL</t>
  </si>
  <si>
    <t>FRCDIV16</t>
  </si>
  <si>
    <t>UPLLIDIV =</t>
  </si>
  <si>
    <t>usbClock</t>
  </si>
  <si>
    <t>SYS_OSC_USBCLK_FRC</t>
  </si>
  <si>
    <t>OSC_REF_BASECLOCK_USBCLK</t>
  </si>
  <si>
    <t>Is PLL output or SYSCLK &gt;100?</t>
  </si>
  <si>
    <t>M33</t>
  </si>
  <si>
    <t>Is USB PLL input &gt; 4?</t>
  </si>
  <si>
    <t>Is USB PLL input &lt; 4?</t>
  </si>
  <si>
    <t>M20</t>
  </si>
  <si>
    <t>Is PLL input &lt;4?</t>
  </si>
  <si>
    <t>Is PLL input &gt;5?</t>
  </si>
  <si>
    <t>Is PLL enabled (1 = enabled)?</t>
  </si>
  <si>
    <t>E23</t>
  </si>
  <si>
    <t>POSCMOD = XT?</t>
  </si>
  <si>
    <t>Is external osc &lt; 4?</t>
  </si>
  <si>
    <t>Is external osc &gt; 10?</t>
  </si>
  <si>
    <t>POSCMOD = HS?</t>
  </si>
  <si>
    <t>Is external osc &lt; 10?</t>
  </si>
  <si>
    <t>Is external osc &gt; 25?</t>
  </si>
  <si>
    <t>E22</t>
  </si>
  <si>
    <t>Is external clock &gt;40 MHz?</t>
  </si>
  <si>
    <t>Oscillator specs per MX1XX/2XX data sheet:</t>
  </si>
  <si>
    <t>ECPLL</t>
  </si>
  <si>
    <t>OS11</t>
  </si>
  <si>
    <t>OS12</t>
  </si>
  <si>
    <t>XTPLL</t>
  </si>
  <si>
    <t>HS/HSPLL</t>
  </si>
  <si>
    <t>Oscillator specs per MX3XX/4XX data sheet:</t>
  </si>
  <si>
    <t>Oscillator specs per MX330/350/370/430/450/470 data sheet:</t>
  </si>
  <si>
    <t>External CLKI Frequency (-40 to 85C)</t>
  </si>
  <si>
    <t>External CLKI Frequency (-40 to 105C)</t>
  </si>
  <si>
    <t>Oscillator specs per MX5XX/6XX/7XX data sheet:</t>
  </si>
  <si>
    <t>PLIB_OSC_PBClockDivisorSet (OSC_ID_0, OSC_PERIPHERAL_BUS_1, peripheralBusClkDiv); //default = FPBDIV</t>
  </si>
  <si>
    <t>Oscillator specs per MZ data sheet (252 MHz):</t>
  </si>
  <si>
    <t>MOS51</t>
  </si>
  <si>
    <t>For PBCLK4</t>
  </si>
  <si>
    <t>For PBCLKx, ‘x’ not = 4,7</t>
  </si>
  <si>
    <t>MOS55a</t>
  </si>
  <si>
    <t>MOS55b</t>
  </si>
  <si>
    <t>MOS55c</t>
  </si>
  <si>
    <t>MOS56</t>
  </si>
  <si>
    <t>MOS54a</t>
  </si>
  <si>
    <t>Is PBCLK4 &gt;200?</t>
  </si>
  <si>
    <t>Is PBCLK7 &gt;252?</t>
  </si>
  <si>
    <t>Is PLL output not between 10 and 252 MHz?</t>
  </si>
  <si>
    <t>Is SYSCLK &gt;252?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</si>
</sst>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0"/>
    <numFmt numFmtId="166" formatCode="0.0000"/>
    <numFmt numFmtId="167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wrapText="1"/>
    </xf>
    <xf numFmtId="0" fontId="2" fillId="0" borderId="0" xfId="0" applyFont="1" applyFill="1"/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3" borderId="2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quotePrefix="1" applyFont="1" applyBorder="1" applyAlignment="1">
      <alignment horizontal="right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/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166" fontId="2" fillId="0" borderId="0" xfId="0" applyNumberFormat="1" applyFont="1" applyBorder="1"/>
    <xf numFmtId="166" fontId="2" fillId="0" borderId="0" xfId="0" applyNumberFormat="1" applyFont="1"/>
    <xf numFmtId="166" fontId="2" fillId="0" borderId="0" xfId="0" applyNumberFormat="1" applyFont="1" applyAlignment="1">
      <alignment horizontal="left"/>
    </xf>
    <xf numFmtId="0" fontId="2" fillId="0" borderId="0" xfId="0" applyFont="1" applyFill="1" applyBorder="1" applyAlignment="1"/>
    <xf numFmtId="167" fontId="2" fillId="0" borderId="0" xfId="0" applyNumberFormat="1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0" fontId="2" fillId="0" borderId="0" xfId="0" applyNumberFormat="1" applyFont="1"/>
    <xf numFmtId="167" fontId="2" fillId="0" borderId="0" xfId="0" applyNumberFormat="1" applyFont="1" applyBorder="1"/>
    <xf numFmtId="0" fontId="2" fillId="0" borderId="0" xfId="0" applyNumberFormat="1" applyFont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/>
    </xf>
  </cellXfs>
  <cellStyles count="1">
    <cellStyle name="Normal" xfId="0" builtinId="0"/>
  </cellStyles>
  <dxfs count="31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C0C0C0"/>
      <color rgb="FF697C5B"/>
      <color rgb="FF455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224790</xdr:colOff>
      <xdr:row>24</xdr:row>
      <xdr:rowOff>160020</xdr:rowOff>
    </xdr:from>
    <xdr:to>
      <xdr:col>9</xdr:col>
      <xdr:colOff>518160</xdr:colOff>
      <xdr:row>25</xdr:row>
      <xdr:rowOff>1905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87AF3073-AAC1-495C-B8D4-5834423BC7A6}"/>
            </a:ext>
          </a:extLst>
        </xdr:cNvPr>
        <xdr:cNvCxnSpPr>
          <a:stCxn id="4" idx="3"/>
        </xdr:cNvCxnSpPr>
      </xdr:nvCxnSpPr>
      <xdr:spPr>
        <a:xfrm flipV="1">
          <a:off x="2175510" y="4556760"/>
          <a:ext cx="2960370" cy="1714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74295</xdr:colOff>
      <xdr:row>24</xdr:row>
      <xdr:rowOff>95250</xdr:rowOff>
    </xdr:from>
    <xdr:to>
      <xdr:col>5</xdr:col>
      <xdr:colOff>230505</xdr:colOff>
      <xdr:row>25</xdr:row>
      <xdr:rowOff>80010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BB35C274-9254-4F18-BD65-6C6F2B92073A}"/>
            </a:ext>
          </a:extLst>
        </xdr:cNvPr>
        <xdr:cNvGrpSpPr/>
      </xdr:nvGrpSpPr>
      <xdr:grpSpPr>
        <a:xfrm>
          <a:off x="2025015" y="4491990"/>
          <a:ext cx="156210" cy="160020"/>
          <a:chOff x="7957185" y="6433185"/>
          <a:chExt cx="156210" cy="160020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B12E6395-67C8-417D-B2D2-61D6981CB23D}"/>
              </a:ext>
            </a:extLst>
          </xdr:cNvPr>
          <xdr:cNvSpPr/>
        </xdr:nvSpPr>
        <xdr:spPr>
          <a:xfrm>
            <a:off x="7962900" y="6438900"/>
            <a:ext cx="144780" cy="152400"/>
          </a:xfrm>
          <a:prstGeom prst="rect">
            <a:avLst/>
          </a:prstGeom>
          <a:solidFill>
            <a:schemeClr val="bg1"/>
          </a:solidFill>
          <a:ln w="222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FA8C3CA7-1660-4780-8E93-E2ECE4B601FB}"/>
              </a:ext>
            </a:extLst>
          </xdr:cNvPr>
          <xdr:cNvCxnSpPr/>
        </xdr:nvCxnSpPr>
        <xdr:spPr>
          <a:xfrm flipV="1">
            <a:off x="7957185" y="6433185"/>
            <a:ext cx="148590" cy="16002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C2DE94B6-0703-46DD-8F2A-73B727FF092A}"/>
              </a:ext>
            </a:extLst>
          </xdr:cNvPr>
          <xdr:cNvCxnSpPr/>
        </xdr:nvCxnSpPr>
        <xdr:spPr>
          <a:xfrm flipH="1" flipV="1">
            <a:off x="7962901" y="6442710"/>
            <a:ext cx="150494" cy="14859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76200</xdr:colOff>
      <xdr:row>29</xdr:row>
      <xdr:rowOff>104775</xdr:rowOff>
    </xdr:from>
    <xdr:to>
      <xdr:col>5</xdr:col>
      <xdr:colOff>232410</xdr:colOff>
      <xdr:row>30</xdr:row>
      <xdr:rowOff>81915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41634E2E-B1E2-4174-94EC-1E7F8D679D7A}"/>
            </a:ext>
          </a:extLst>
        </xdr:cNvPr>
        <xdr:cNvGrpSpPr/>
      </xdr:nvGrpSpPr>
      <xdr:grpSpPr>
        <a:xfrm>
          <a:off x="2026920" y="5377815"/>
          <a:ext cx="156210" cy="152400"/>
          <a:chOff x="7957185" y="6433185"/>
          <a:chExt cx="156210" cy="160020"/>
        </a:xfrm>
      </xdr:grpSpPr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AA761310-A7EE-42CD-B874-1DE3000552CF}"/>
              </a:ext>
            </a:extLst>
          </xdr:cNvPr>
          <xdr:cNvSpPr/>
        </xdr:nvSpPr>
        <xdr:spPr>
          <a:xfrm>
            <a:off x="7962900" y="6438900"/>
            <a:ext cx="144780" cy="152400"/>
          </a:xfrm>
          <a:prstGeom prst="rect">
            <a:avLst/>
          </a:prstGeom>
          <a:solidFill>
            <a:schemeClr val="bg1"/>
          </a:solidFill>
          <a:ln w="222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C47A0BCA-8407-4566-992F-63271AF3F992}"/>
              </a:ext>
            </a:extLst>
          </xdr:cNvPr>
          <xdr:cNvCxnSpPr/>
        </xdr:nvCxnSpPr>
        <xdr:spPr>
          <a:xfrm flipV="1">
            <a:off x="7957185" y="6433185"/>
            <a:ext cx="148590" cy="16002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31F3A6D7-692F-47CE-9C18-F6BA43987ADF}"/>
              </a:ext>
            </a:extLst>
          </xdr:cNvPr>
          <xdr:cNvCxnSpPr/>
        </xdr:nvCxnSpPr>
        <xdr:spPr>
          <a:xfrm flipH="1" flipV="1">
            <a:off x="7962901" y="6442710"/>
            <a:ext cx="150494" cy="14859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226695</xdr:colOff>
      <xdr:row>30</xdr:row>
      <xdr:rowOff>7530</xdr:rowOff>
    </xdr:from>
    <xdr:to>
      <xdr:col>6</xdr:col>
      <xdr:colOff>350520</xdr:colOff>
      <xdr:row>30</xdr:row>
      <xdr:rowOff>7620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F74A087E-50BD-4DCA-9891-FB1E9201657A}"/>
            </a:ext>
          </a:extLst>
        </xdr:cNvPr>
        <xdr:cNvCxnSpPr>
          <a:endCxn id="8" idx="3"/>
        </xdr:cNvCxnSpPr>
      </xdr:nvCxnSpPr>
      <xdr:spPr>
        <a:xfrm flipH="1" flipV="1">
          <a:off x="2177415" y="5455830"/>
          <a:ext cx="710565" cy="9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382905</xdr:colOff>
      <xdr:row>24</xdr:row>
      <xdr:rowOff>173355</xdr:rowOff>
    </xdr:from>
    <xdr:to>
      <xdr:col>5</xdr:col>
      <xdr:colOff>582930</xdr:colOff>
      <xdr:row>30</xdr:row>
      <xdr:rowOff>7620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5A41B1C0-586C-4C34-89D0-BF1DD81FD954}"/>
            </a:ext>
          </a:extLst>
        </xdr:cNvPr>
        <xdr:cNvGrpSpPr/>
      </xdr:nvGrpSpPr>
      <xdr:grpSpPr>
        <a:xfrm>
          <a:off x="2333625" y="4570095"/>
          <a:ext cx="200025" cy="885825"/>
          <a:chOff x="8985885" y="6543675"/>
          <a:chExt cx="139065" cy="923925"/>
        </a:xfrm>
      </xdr:grpSpPr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C8052774-399C-4F09-9BCA-52F6B97000D9}"/>
              </a:ext>
            </a:extLst>
          </xdr:cNvPr>
          <xdr:cNvCxnSpPr/>
        </xdr:nvCxnSpPr>
        <xdr:spPr>
          <a:xfrm>
            <a:off x="9056370" y="7187565"/>
            <a:ext cx="3810" cy="280035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D38CDF61-D66D-4C36-A215-1C5BC59CE336}"/>
              </a:ext>
            </a:extLst>
          </xdr:cNvPr>
          <xdr:cNvCxnSpPr/>
        </xdr:nvCxnSpPr>
        <xdr:spPr>
          <a:xfrm>
            <a:off x="9056370" y="6819900"/>
            <a:ext cx="66675" cy="3429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DBB8DC8B-CE1B-4336-85A4-FF96CA3550E2}"/>
              </a:ext>
            </a:extLst>
          </xdr:cNvPr>
          <xdr:cNvCxnSpPr/>
        </xdr:nvCxnSpPr>
        <xdr:spPr>
          <a:xfrm flipV="1">
            <a:off x="9052560" y="7145655"/>
            <a:ext cx="68580" cy="40005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E760EF9-8C33-4076-89FD-EA8594866774}"/>
              </a:ext>
            </a:extLst>
          </xdr:cNvPr>
          <xdr:cNvCxnSpPr/>
        </xdr:nvCxnSpPr>
        <xdr:spPr>
          <a:xfrm>
            <a:off x="8985885" y="6926580"/>
            <a:ext cx="139065" cy="7239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3C2EAB43-BF77-45B9-934E-AF417F70DE71}"/>
              </a:ext>
            </a:extLst>
          </xdr:cNvPr>
          <xdr:cNvCxnSpPr/>
        </xdr:nvCxnSpPr>
        <xdr:spPr>
          <a:xfrm>
            <a:off x="8985885" y="7077075"/>
            <a:ext cx="139065" cy="7239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A869D392-6FD6-40B8-9B5B-946D075EC8D8}"/>
              </a:ext>
            </a:extLst>
          </xdr:cNvPr>
          <xdr:cNvCxnSpPr/>
        </xdr:nvCxnSpPr>
        <xdr:spPr>
          <a:xfrm flipV="1">
            <a:off x="8989695" y="6852285"/>
            <a:ext cx="131445" cy="7239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12FDE7CB-C7EF-4EE3-8500-EC8910C2F633}"/>
              </a:ext>
            </a:extLst>
          </xdr:cNvPr>
          <xdr:cNvCxnSpPr/>
        </xdr:nvCxnSpPr>
        <xdr:spPr>
          <a:xfrm flipV="1">
            <a:off x="8993505" y="7000875"/>
            <a:ext cx="131445" cy="7239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1D9B48EF-0BDB-43CE-89C0-DB6EDFDBEDCC}"/>
              </a:ext>
            </a:extLst>
          </xdr:cNvPr>
          <xdr:cNvCxnSpPr/>
        </xdr:nvCxnSpPr>
        <xdr:spPr>
          <a:xfrm>
            <a:off x="9054465" y="6543675"/>
            <a:ext cx="1905" cy="276225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139065</xdr:colOff>
      <xdr:row>25</xdr:row>
      <xdr:rowOff>5715</xdr:rowOff>
    </xdr:from>
    <xdr:to>
      <xdr:col>6</xdr:col>
      <xdr:colOff>542925</xdr:colOff>
      <xdr:row>30</xdr:row>
      <xdr:rowOff>13336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A2773141-AA22-4473-ABC9-826451B4DB38}"/>
            </a:ext>
          </a:extLst>
        </xdr:cNvPr>
        <xdr:cNvGrpSpPr/>
      </xdr:nvGrpSpPr>
      <xdr:grpSpPr>
        <a:xfrm>
          <a:off x="2676525" y="4577715"/>
          <a:ext cx="403860" cy="883921"/>
          <a:chOff x="9351645" y="6551295"/>
          <a:chExt cx="411480" cy="922021"/>
        </a:xfrm>
      </xdr:grpSpPr>
      <xdr:cxnSp macro="">
        <xdr:nvCxnSpPr>
          <xdr:cNvPr id="22" name="Straight Connector 21">
            <a:extLst>
              <a:ext uri="{FF2B5EF4-FFF2-40B4-BE49-F238E27FC236}">
                <a16:creationId xmlns:a16="http://schemas.microsoft.com/office/drawing/2014/main" id="{0D90C3FA-85F5-4A11-BCFD-2ACAE487D189}"/>
              </a:ext>
            </a:extLst>
          </xdr:cNvPr>
          <xdr:cNvCxnSpPr/>
        </xdr:nvCxnSpPr>
        <xdr:spPr>
          <a:xfrm flipH="1" flipV="1">
            <a:off x="9557385" y="6551295"/>
            <a:ext cx="1" cy="922021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Isosceles Triangle 22">
            <a:extLst>
              <a:ext uri="{FF2B5EF4-FFF2-40B4-BE49-F238E27FC236}">
                <a16:creationId xmlns:a16="http://schemas.microsoft.com/office/drawing/2014/main" id="{BFB61499-7856-4C7D-9817-71C55137DEA3}"/>
              </a:ext>
            </a:extLst>
          </xdr:cNvPr>
          <xdr:cNvSpPr/>
        </xdr:nvSpPr>
        <xdr:spPr>
          <a:xfrm rot="10800000">
            <a:off x="9351645" y="6812280"/>
            <a:ext cx="411480" cy="35814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Oval 23">
            <a:extLst>
              <a:ext uri="{FF2B5EF4-FFF2-40B4-BE49-F238E27FC236}">
                <a16:creationId xmlns:a16="http://schemas.microsoft.com/office/drawing/2014/main" id="{D7786960-B8CA-4432-B2B5-B6C5321A0649}"/>
              </a:ext>
            </a:extLst>
          </xdr:cNvPr>
          <xdr:cNvSpPr/>
        </xdr:nvSpPr>
        <xdr:spPr>
          <a:xfrm>
            <a:off x="9536430" y="7168516"/>
            <a:ext cx="45719" cy="45719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6</xdr:col>
      <xdr:colOff>441960</xdr:colOff>
      <xdr:row>27</xdr:row>
      <xdr:rowOff>76200</xdr:rowOff>
    </xdr:from>
    <xdr:to>
      <xdr:col>7</xdr:col>
      <xdr:colOff>264795</xdr:colOff>
      <xdr:row>27</xdr:row>
      <xdr:rowOff>77066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66A5DB40-47BD-4EB7-87C9-9FBF8A812BAF}"/>
            </a:ext>
          </a:extLst>
        </xdr:cNvPr>
        <xdr:cNvCxnSpPr>
          <a:stCxn id="30" idx="1"/>
          <a:endCxn id="23" idx="1"/>
        </xdr:cNvCxnSpPr>
      </xdr:nvCxnSpPr>
      <xdr:spPr>
        <a:xfrm flipH="1">
          <a:off x="2979420" y="4998720"/>
          <a:ext cx="424815" cy="866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358139</xdr:colOff>
      <xdr:row>16</xdr:row>
      <xdr:rowOff>97155</xdr:rowOff>
    </xdr:from>
    <xdr:to>
      <xdr:col>17</xdr:col>
      <xdr:colOff>403860</xdr:colOff>
      <xdr:row>18</xdr:row>
      <xdr:rowOff>112395</xdr:rowOff>
    </xdr:to>
    <xdr:sp macro="" textlink="">
      <xdr:nvSpPr>
        <xdr:cNvPr id="26" name="Rounded Rectangle 66">
          <a:extLst>
            <a:ext uri="{FF2B5EF4-FFF2-40B4-BE49-F238E27FC236}">
              <a16:creationId xmlns:a16="http://schemas.microsoft.com/office/drawing/2014/main" id="{46D5317E-19EA-4B47-BE95-55D22182D445}"/>
            </a:ext>
          </a:extLst>
        </xdr:cNvPr>
        <xdr:cNvSpPr/>
      </xdr:nvSpPr>
      <xdr:spPr>
        <a:xfrm>
          <a:off x="9128759" y="3091815"/>
          <a:ext cx="784861" cy="36576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PLL Output Divider</a:t>
          </a:r>
        </a:p>
      </xdr:txBody>
    </xdr:sp>
    <xdr:clientData/>
  </xdr:twoCellAnchor>
  <xdr:twoCellAnchor>
    <xdr:from>
      <xdr:col>7</xdr:col>
      <xdr:colOff>396241</xdr:colOff>
      <xdr:row>16</xdr:row>
      <xdr:rowOff>99056</xdr:rowOff>
    </xdr:from>
    <xdr:to>
      <xdr:col>8</xdr:col>
      <xdr:colOff>342901</xdr:colOff>
      <xdr:row>18</xdr:row>
      <xdr:rowOff>114296</xdr:rowOff>
    </xdr:to>
    <xdr:sp macro="" textlink="">
      <xdr:nvSpPr>
        <xdr:cNvPr id="27" name="Rounded Rectangle 67">
          <a:extLst>
            <a:ext uri="{FF2B5EF4-FFF2-40B4-BE49-F238E27FC236}">
              <a16:creationId xmlns:a16="http://schemas.microsoft.com/office/drawing/2014/main" id="{CC26BB14-0D77-4283-B632-481D98791A0F}"/>
            </a:ext>
          </a:extLst>
        </xdr:cNvPr>
        <xdr:cNvSpPr/>
      </xdr:nvSpPr>
      <xdr:spPr>
        <a:xfrm>
          <a:off x="3535681" y="3093716"/>
          <a:ext cx="685800" cy="36576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PLL Input Selection</a:t>
          </a:r>
        </a:p>
      </xdr:txBody>
    </xdr:sp>
    <xdr:clientData/>
  </xdr:twoCellAnchor>
  <xdr:twoCellAnchor>
    <xdr:from>
      <xdr:col>10</xdr:col>
      <xdr:colOff>398144</xdr:colOff>
      <xdr:row>16</xdr:row>
      <xdr:rowOff>97154</xdr:rowOff>
    </xdr:from>
    <xdr:to>
      <xdr:col>11</xdr:col>
      <xdr:colOff>344804</xdr:colOff>
      <xdr:row>18</xdr:row>
      <xdr:rowOff>112394</xdr:rowOff>
    </xdr:to>
    <xdr:sp macro="" textlink="">
      <xdr:nvSpPr>
        <xdr:cNvPr id="28" name="Rounded Rectangle 68">
          <a:extLst>
            <a:ext uri="{FF2B5EF4-FFF2-40B4-BE49-F238E27FC236}">
              <a16:creationId xmlns:a16="http://schemas.microsoft.com/office/drawing/2014/main" id="{37A56ED2-FAF4-4D32-A821-79BADDE25241}"/>
            </a:ext>
          </a:extLst>
        </xdr:cNvPr>
        <xdr:cNvSpPr/>
      </xdr:nvSpPr>
      <xdr:spPr>
        <a:xfrm>
          <a:off x="5648324" y="3091814"/>
          <a:ext cx="685800" cy="36576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PLL Input Divider</a:t>
          </a:r>
        </a:p>
      </xdr:txBody>
    </xdr:sp>
    <xdr:clientData/>
  </xdr:twoCellAnchor>
  <xdr:twoCellAnchor>
    <xdr:from>
      <xdr:col>13</xdr:col>
      <xdr:colOff>392429</xdr:colOff>
      <xdr:row>16</xdr:row>
      <xdr:rowOff>97154</xdr:rowOff>
    </xdr:from>
    <xdr:to>
      <xdr:col>14</xdr:col>
      <xdr:colOff>339089</xdr:colOff>
      <xdr:row>18</xdr:row>
      <xdr:rowOff>112394</xdr:rowOff>
    </xdr:to>
    <xdr:sp macro="" textlink="">
      <xdr:nvSpPr>
        <xdr:cNvPr id="29" name="Rounded Rectangle 69">
          <a:extLst>
            <a:ext uri="{FF2B5EF4-FFF2-40B4-BE49-F238E27FC236}">
              <a16:creationId xmlns:a16="http://schemas.microsoft.com/office/drawing/2014/main" id="{EDA4B13A-3059-424D-8A93-B41B4110B44B}"/>
            </a:ext>
          </a:extLst>
        </xdr:cNvPr>
        <xdr:cNvSpPr/>
      </xdr:nvSpPr>
      <xdr:spPr>
        <a:xfrm>
          <a:off x="7364729" y="3091814"/>
          <a:ext cx="685800" cy="36576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PLL Multiplier</a:t>
          </a:r>
        </a:p>
      </xdr:txBody>
    </xdr:sp>
    <xdr:clientData/>
  </xdr:twoCellAnchor>
  <xdr:twoCellAnchor>
    <xdr:from>
      <xdr:col>7</xdr:col>
      <xdr:colOff>264795</xdr:colOff>
      <xdr:row>26</xdr:row>
      <xdr:rowOff>68580</xdr:rowOff>
    </xdr:from>
    <xdr:to>
      <xdr:col>8</xdr:col>
      <xdr:colOff>0</xdr:colOff>
      <xdr:row>28</xdr:row>
      <xdr:rowOff>83820</xdr:rowOff>
    </xdr:to>
    <xdr:sp macro="" textlink="">
      <xdr:nvSpPr>
        <xdr:cNvPr id="30" name="Rounded Rectangle 1">
          <a:extLst>
            <a:ext uri="{FF2B5EF4-FFF2-40B4-BE49-F238E27FC236}">
              <a16:creationId xmlns:a16="http://schemas.microsoft.com/office/drawing/2014/main" id="{C0CA5816-E81B-4094-87D8-2EB5A6B6C8EC}"/>
            </a:ext>
          </a:extLst>
        </xdr:cNvPr>
        <xdr:cNvSpPr/>
      </xdr:nvSpPr>
      <xdr:spPr>
        <a:xfrm>
          <a:off x="3404235" y="4815840"/>
          <a:ext cx="474345" cy="36576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POSC Enable</a:t>
          </a:r>
        </a:p>
      </xdr:txBody>
    </xdr:sp>
    <xdr:clientData/>
  </xdr:twoCellAnchor>
  <xdr:twoCellAnchor>
    <xdr:from>
      <xdr:col>8</xdr:col>
      <xdr:colOff>342901</xdr:colOff>
      <xdr:row>17</xdr:row>
      <xdr:rowOff>104774</xdr:rowOff>
    </xdr:from>
    <xdr:to>
      <xdr:col>10</xdr:col>
      <xdr:colOff>398144</xdr:colOff>
      <xdr:row>17</xdr:row>
      <xdr:rowOff>106676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D2FB5E5A-C8B9-44FD-B4F4-5D9CBF51C2AD}"/>
            </a:ext>
          </a:extLst>
        </xdr:cNvPr>
        <xdr:cNvCxnSpPr>
          <a:stCxn id="27" idx="3"/>
          <a:endCxn id="28" idx="1"/>
        </xdr:cNvCxnSpPr>
      </xdr:nvCxnSpPr>
      <xdr:spPr>
        <a:xfrm flipV="1">
          <a:off x="4221481" y="3274694"/>
          <a:ext cx="1426843" cy="1902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344804</xdr:colOff>
      <xdr:row>17</xdr:row>
      <xdr:rowOff>104774</xdr:rowOff>
    </xdr:from>
    <xdr:to>
      <xdr:col>13</xdr:col>
      <xdr:colOff>392429</xdr:colOff>
      <xdr:row>17</xdr:row>
      <xdr:rowOff>104774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5167FB47-FA93-48AF-9FAF-B7C19FFEE835}"/>
            </a:ext>
          </a:extLst>
        </xdr:cNvPr>
        <xdr:cNvCxnSpPr>
          <a:stCxn id="28" idx="3"/>
          <a:endCxn id="29" idx="1"/>
        </xdr:cNvCxnSpPr>
      </xdr:nvCxnSpPr>
      <xdr:spPr>
        <a:xfrm>
          <a:off x="6334124" y="3274694"/>
          <a:ext cx="1030605" cy="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339089</xdr:colOff>
      <xdr:row>17</xdr:row>
      <xdr:rowOff>104774</xdr:rowOff>
    </xdr:from>
    <xdr:to>
      <xdr:col>16</xdr:col>
      <xdr:colOff>358139</xdr:colOff>
      <xdr:row>17</xdr:row>
      <xdr:rowOff>104775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48B9C695-2871-434C-ACC5-0B5302FF944D}"/>
            </a:ext>
          </a:extLst>
        </xdr:cNvPr>
        <xdr:cNvCxnSpPr>
          <a:stCxn id="29" idx="3"/>
          <a:endCxn id="26" idx="1"/>
        </xdr:cNvCxnSpPr>
      </xdr:nvCxnSpPr>
      <xdr:spPr>
        <a:xfrm>
          <a:off x="8050529" y="3274694"/>
          <a:ext cx="1078230" cy="1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403860</xdr:colOff>
      <xdr:row>17</xdr:row>
      <xdr:rowOff>95251</xdr:rowOff>
    </xdr:from>
    <xdr:to>
      <xdr:col>18</xdr:col>
      <xdr:colOff>525780</xdr:colOff>
      <xdr:row>17</xdr:row>
      <xdr:rowOff>104775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145A160E-C488-4F8F-B54E-230D6BA62DA1}"/>
            </a:ext>
          </a:extLst>
        </xdr:cNvPr>
        <xdr:cNvCxnSpPr>
          <a:stCxn id="26" idx="3"/>
        </xdr:cNvCxnSpPr>
      </xdr:nvCxnSpPr>
      <xdr:spPr>
        <a:xfrm flipV="1">
          <a:off x="9913620" y="3265171"/>
          <a:ext cx="548640" cy="9524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160020</xdr:rowOff>
    </xdr:from>
    <xdr:to>
      <xdr:col>7</xdr:col>
      <xdr:colOff>388620</xdr:colOff>
      <xdr:row>16</xdr:row>
      <xdr:rowOff>167640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94F1D626-FC2D-459D-A7AD-B40D52BCC46E}"/>
            </a:ext>
          </a:extLst>
        </xdr:cNvPr>
        <xdr:cNvCxnSpPr/>
      </xdr:nvCxnSpPr>
      <xdr:spPr>
        <a:xfrm flipV="1">
          <a:off x="2537460" y="3154680"/>
          <a:ext cx="990600" cy="762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</xdr:colOff>
      <xdr:row>9</xdr:row>
      <xdr:rowOff>167640</xdr:rowOff>
    </xdr:from>
    <xdr:to>
      <xdr:col>5</xdr:col>
      <xdr:colOff>304799</xdr:colOff>
      <xdr:row>13</xdr:row>
      <xdr:rowOff>15236</xdr:rowOff>
    </xdr:to>
    <xdr:sp macro="" textlink="">
      <xdr:nvSpPr>
        <xdr:cNvPr id="36" name="Rounded Rectangle 135">
          <a:extLst>
            <a:ext uri="{FF2B5EF4-FFF2-40B4-BE49-F238E27FC236}">
              <a16:creationId xmlns:a16="http://schemas.microsoft.com/office/drawing/2014/main" id="{44EBF810-2DF4-4A91-852A-2DDB3D65CDE5}"/>
            </a:ext>
          </a:extLst>
        </xdr:cNvPr>
        <xdr:cNvSpPr/>
      </xdr:nvSpPr>
      <xdr:spPr>
        <a:xfrm>
          <a:off x="1562100" y="1927860"/>
          <a:ext cx="693419" cy="556256"/>
        </a:xfrm>
        <a:prstGeom prst="roundRect">
          <a:avLst/>
        </a:prstGeom>
        <a:solidFill>
          <a:srgbClr val="697C5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FRC Oscillator</a:t>
          </a:r>
        </a:p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8 MHz</a:t>
          </a:r>
        </a:p>
      </xdr:txBody>
    </xdr:sp>
    <xdr:clientData/>
  </xdr:twoCellAnchor>
  <xdr:twoCellAnchor>
    <xdr:from>
      <xdr:col>4</xdr:col>
      <xdr:colOff>7620</xdr:colOff>
      <xdr:row>26</xdr:row>
      <xdr:rowOff>76200</xdr:rowOff>
    </xdr:from>
    <xdr:to>
      <xdr:col>5</xdr:col>
      <xdr:colOff>274319</xdr:colOff>
      <xdr:row>28</xdr:row>
      <xdr:rowOff>99060</xdr:rowOff>
    </xdr:to>
    <xdr:sp macro="" textlink="">
      <xdr:nvSpPr>
        <xdr:cNvPr id="37" name="Rounded Rectangle 136">
          <a:extLst>
            <a:ext uri="{FF2B5EF4-FFF2-40B4-BE49-F238E27FC236}">
              <a16:creationId xmlns:a16="http://schemas.microsoft.com/office/drawing/2014/main" id="{0AA12890-EA85-4531-A6B9-3DB644FEFD91}"/>
            </a:ext>
          </a:extLst>
        </xdr:cNvPr>
        <xdr:cNvSpPr/>
      </xdr:nvSpPr>
      <xdr:spPr>
        <a:xfrm>
          <a:off x="1562100" y="4823460"/>
          <a:ext cx="662939" cy="373380"/>
        </a:xfrm>
        <a:prstGeom prst="roundRect">
          <a:avLst/>
        </a:prstGeom>
        <a:solidFill>
          <a:srgbClr val="697C5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POSC Oscillator</a:t>
          </a:r>
        </a:p>
      </xdr:txBody>
    </xdr:sp>
    <xdr:clientData/>
  </xdr:twoCellAnchor>
  <xdr:twoCellAnchor>
    <xdr:from>
      <xdr:col>5</xdr:col>
      <xdr:colOff>579120</xdr:colOff>
      <xdr:row>11</xdr:row>
      <xdr:rowOff>83816</xdr:rowOff>
    </xdr:from>
    <xdr:to>
      <xdr:col>5</xdr:col>
      <xdr:colOff>582930</xdr:colOff>
      <xdr:row>16</xdr:row>
      <xdr:rowOff>167640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98844C8B-EFCC-45FF-AB95-26D8311D2DF2}"/>
            </a:ext>
          </a:extLst>
        </xdr:cNvPr>
        <xdr:cNvCxnSpPr/>
      </xdr:nvCxnSpPr>
      <xdr:spPr>
        <a:xfrm flipH="1">
          <a:off x="2529840" y="2202176"/>
          <a:ext cx="3810" cy="960124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495300</xdr:colOff>
      <xdr:row>19</xdr:row>
      <xdr:rowOff>152400</xdr:rowOff>
    </xdr:from>
    <xdr:to>
      <xdr:col>14</xdr:col>
      <xdr:colOff>243840</xdr:colOff>
      <xdr:row>21</xdr:row>
      <xdr:rowOff>167640</xdr:rowOff>
    </xdr:to>
    <xdr:sp macro="" textlink="">
      <xdr:nvSpPr>
        <xdr:cNvPr id="39" name="Rounded Rectangle 159">
          <a:extLst>
            <a:ext uri="{FF2B5EF4-FFF2-40B4-BE49-F238E27FC236}">
              <a16:creationId xmlns:a16="http://schemas.microsoft.com/office/drawing/2014/main" id="{23F56304-7336-4D4D-8A49-1E9FE368F576}"/>
            </a:ext>
          </a:extLst>
        </xdr:cNvPr>
        <xdr:cNvSpPr/>
      </xdr:nvSpPr>
      <xdr:spPr>
        <a:xfrm>
          <a:off x="7467600" y="3672840"/>
          <a:ext cx="487680" cy="36576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PLL Range</a:t>
          </a:r>
        </a:p>
      </xdr:txBody>
    </xdr:sp>
    <xdr:clientData/>
  </xdr:twoCellAnchor>
  <xdr:twoCellAnchor>
    <xdr:from>
      <xdr:col>13</xdr:col>
      <xdr:colOff>735329</xdr:colOff>
      <xdr:row>18</xdr:row>
      <xdr:rowOff>112394</xdr:rowOff>
    </xdr:from>
    <xdr:to>
      <xdr:col>14</xdr:col>
      <xdr:colOff>0</xdr:colOff>
      <xdr:row>19</xdr:row>
      <xdr:rowOff>152400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F04E8286-CDEE-4536-84B3-73B74F63C8B5}"/>
            </a:ext>
          </a:extLst>
        </xdr:cNvPr>
        <xdr:cNvCxnSpPr>
          <a:stCxn id="39" idx="0"/>
          <a:endCxn id="29" idx="2"/>
        </xdr:cNvCxnSpPr>
      </xdr:nvCxnSpPr>
      <xdr:spPr>
        <a:xfrm flipH="1" flipV="1">
          <a:off x="7707629" y="3457574"/>
          <a:ext cx="3811" cy="215266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14</xdr:row>
      <xdr:rowOff>83820</xdr:rowOff>
    </xdr:from>
    <xdr:to>
      <xdr:col>18</xdr:col>
      <xdr:colOff>91440</xdr:colOff>
      <xdr:row>23</xdr:row>
      <xdr:rowOff>114300</xdr:rowOff>
    </xdr:to>
    <xdr:sp macro="" textlink="">
      <xdr:nvSpPr>
        <xdr:cNvPr id="41" name="Rounded Rectangle 163">
          <a:extLst>
            <a:ext uri="{FF2B5EF4-FFF2-40B4-BE49-F238E27FC236}">
              <a16:creationId xmlns:a16="http://schemas.microsoft.com/office/drawing/2014/main" id="{E75DCE97-B9CB-47AC-A683-536CFE0C6796}"/>
            </a:ext>
          </a:extLst>
        </xdr:cNvPr>
        <xdr:cNvSpPr/>
      </xdr:nvSpPr>
      <xdr:spPr>
        <a:xfrm>
          <a:off x="3032760" y="2727960"/>
          <a:ext cx="7124700" cy="1607820"/>
        </a:xfrm>
        <a:prstGeom prst="roundRect">
          <a:avLst>
            <a:gd name="adj" fmla="val 10506"/>
          </a:avLst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7620</xdr:colOff>
      <xdr:row>17</xdr:row>
      <xdr:rowOff>167640</xdr:rowOff>
    </xdr:from>
    <xdr:to>
      <xdr:col>7</xdr:col>
      <xdr:colOff>15240</xdr:colOff>
      <xdr:row>25</xdr:row>
      <xdr:rowOff>15240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B3AD9163-8885-4593-94AB-A18324E23517}"/>
            </a:ext>
          </a:extLst>
        </xdr:cNvPr>
        <xdr:cNvCxnSpPr/>
      </xdr:nvCxnSpPr>
      <xdr:spPr>
        <a:xfrm>
          <a:off x="3147060" y="3337560"/>
          <a:ext cx="7620" cy="124968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</xdr:colOff>
      <xdr:row>17</xdr:row>
      <xdr:rowOff>160020</xdr:rowOff>
    </xdr:from>
    <xdr:to>
      <xdr:col>7</xdr:col>
      <xdr:colOff>388620</xdr:colOff>
      <xdr:row>17</xdr:row>
      <xdr:rowOff>167640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E703A1FF-CDBD-445D-BD0F-D51C3782CEAC}"/>
            </a:ext>
          </a:extLst>
        </xdr:cNvPr>
        <xdr:cNvCxnSpPr/>
      </xdr:nvCxnSpPr>
      <xdr:spPr>
        <a:xfrm flipV="1">
          <a:off x="3147060" y="3329940"/>
          <a:ext cx="381000" cy="762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662940</xdr:colOff>
      <xdr:row>21</xdr:row>
      <xdr:rowOff>129540</xdr:rowOff>
    </xdr:from>
    <xdr:ext cx="1065613" cy="269369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A274B2EF-E6C4-4AA5-9B9A-46D857F4BD59}"/>
            </a:ext>
          </a:extLst>
        </xdr:cNvPr>
        <xdr:cNvSpPr txBox="1"/>
      </xdr:nvSpPr>
      <xdr:spPr>
        <a:xfrm>
          <a:off x="4541520" y="4000500"/>
          <a:ext cx="106561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System PLL</a:t>
          </a:r>
        </a:p>
      </xdr:txBody>
    </xdr:sp>
    <xdr:clientData/>
  </xdr:oneCellAnchor>
  <xdr:oneCellAnchor>
    <xdr:from>
      <xdr:col>3</xdr:col>
      <xdr:colOff>312420</xdr:colOff>
      <xdr:row>56</xdr:row>
      <xdr:rowOff>38100</xdr:rowOff>
    </xdr:from>
    <xdr:ext cx="2697481" cy="70104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C9EFF9A9-455F-490B-B2A6-7E2EB69ADAAF}"/>
            </a:ext>
          </a:extLst>
        </xdr:cNvPr>
        <xdr:cNvSpPr txBox="1"/>
      </xdr:nvSpPr>
      <xdr:spPr>
        <a:xfrm>
          <a:off x="1295400" y="10066020"/>
          <a:ext cx="2697481" cy="7010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Device configuration settings per highlighted selections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above </a:t>
          </a:r>
          <a:r>
            <a:rPr lang="en-US" sz="1000" b="0" baseline="0">
              <a:latin typeface="Arial" pitchFamily="34" charset="0"/>
              <a:cs typeface="Arial" pitchFamily="34" charset="0"/>
            </a:rPr>
            <a:t>(</a:t>
          </a:r>
          <a:r>
            <a:rPr lang="en-US" sz="1000" b="0">
              <a:latin typeface="Arial" pitchFamily="34" charset="0"/>
              <a:cs typeface="Arial" pitchFamily="34" charset="0"/>
            </a:rPr>
            <a:t>configured at program time)</a:t>
          </a:r>
          <a:endParaRPr lang="en-US" sz="1100" b="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14</xdr:col>
      <xdr:colOff>243841</xdr:colOff>
      <xdr:row>83</xdr:row>
      <xdr:rowOff>83820</xdr:rowOff>
    </xdr:from>
    <xdr:ext cx="4023359" cy="4800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ACFF7F03-B0F5-4EE1-8CBE-28FBE455D7CF}"/>
            </a:ext>
          </a:extLst>
        </xdr:cNvPr>
        <xdr:cNvSpPr txBox="1"/>
      </xdr:nvSpPr>
      <xdr:spPr>
        <a:xfrm>
          <a:off x="7955281" y="14843760"/>
          <a:ext cx="4023359" cy="480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Harmony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functions to configure clocks at</a:t>
          </a:r>
          <a:r>
            <a:rPr lang="en-US" sz="1200" b="1">
              <a:latin typeface="Arial" pitchFamily="34" charset="0"/>
              <a:cs typeface="Arial" pitchFamily="34" charset="0"/>
            </a:rPr>
            <a:t> run time</a:t>
          </a:r>
        </a:p>
        <a:p>
          <a:pPr algn="ctr"/>
          <a:r>
            <a:rPr lang="en-US" sz="1000" b="0">
              <a:latin typeface="Arial" pitchFamily="34" charset="0"/>
              <a:cs typeface="Arial" pitchFamily="34" charset="0"/>
            </a:rPr>
            <a:t>(for reference only...not controlled by selections above)</a:t>
          </a:r>
        </a:p>
      </xdr:txBody>
    </xdr:sp>
    <xdr:clientData/>
  </xdr:oneCellAnchor>
  <xdr:twoCellAnchor>
    <xdr:from>
      <xdr:col>7</xdr:col>
      <xdr:colOff>481963</xdr:colOff>
      <xdr:row>10</xdr:row>
      <xdr:rowOff>91440</xdr:rowOff>
    </xdr:from>
    <xdr:to>
      <xdr:col>8</xdr:col>
      <xdr:colOff>274320</xdr:colOff>
      <xdr:row>12</xdr:row>
      <xdr:rowOff>99060</xdr:rowOff>
    </xdr:to>
    <xdr:sp macro="" textlink="">
      <xdr:nvSpPr>
        <xdr:cNvPr id="47" name="Rounded Rectangle 186">
          <a:extLst>
            <a:ext uri="{FF2B5EF4-FFF2-40B4-BE49-F238E27FC236}">
              <a16:creationId xmlns:a16="http://schemas.microsoft.com/office/drawing/2014/main" id="{2A9B00CB-2F46-4975-BFA9-B137BA21E1C4}"/>
            </a:ext>
          </a:extLst>
        </xdr:cNvPr>
        <xdr:cNvSpPr/>
      </xdr:nvSpPr>
      <xdr:spPr>
        <a:xfrm>
          <a:off x="3621403" y="2026920"/>
          <a:ext cx="531497" cy="36576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FRC Divider</a:t>
          </a:r>
        </a:p>
      </xdr:txBody>
    </xdr:sp>
    <xdr:clientData/>
  </xdr:twoCellAnchor>
  <xdr:twoCellAnchor>
    <xdr:from>
      <xdr:col>5</xdr:col>
      <xdr:colOff>304799</xdr:colOff>
      <xdr:row>11</xdr:row>
      <xdr:rowOff>87628</xdr:rowOff>
    </xdr:from>
    <xdr:to>
      <xdr:col>7</xdr:col>
      <xdr:colOff>481963</xdr:colOff>
      <xdr:row>11</xdr:row>
      <xdr:rowOff>91440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8C8247F0-3913-4013-AF97-7CE5C410272F}"/>
            </a:ext>
          </a:extLst>
        </xdr:cNvPr>
        <xdr:cNvCxnSpPr>
          <a:stCxn id="36" idx="3"/>
          <a:endCxn id="47" idx="1"/>
        </xdr:cNvCxnSpPr>
      </xdr:nvCxnSpPr>
      <xdr:spPr>
        <a:xfrm>
          <a:off x="2255519" y="2205988"/>
          <a:ext cx="1365884" cy="3812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274320</xdr:colOff>
      <xdr:row>11</xdr:row>
      <xdr:rowOff>88965</xdr:rowOff>
    </xdr:from>
    <xdr:to>
      <xdr:col>9</xdr:col>
      <xdr:colOff>480060</xdr:colOff>
      <xdr:row>11</xdr:row>
      <xdr:rowOff>91440</xdr:rowOff>
    </xdr:to>
    <xdr:cxnSp macro="">
      <xdr:nvCxnSpPr>
        <xdr:cNvPr id="49" name="Straight Arrow Connector 48">
          <a:extLst>
            <a:ext uri="{FF2B5EF4-FFF2-40B4-BE49-F238E27FC236}">
              <a16:creationId xmlns:a16="http://schemas.microsoft.com/office/drawing/2014/main" id="{C8631805-6FBD-4F54-B69A-2B6471609796}"/>
            </a:ext>
          </a:extLst>
        </xdr:cNvPr>
        <xdr:cNvCxnSpPr>
          <a:stCxn id="47" idx="3"/>
          <a:endCxn id="55" idx="1"/>
        </xdr:cNvCxnSpPr>
      </xdr:nvCxnSpPr>
      <xdr:spPr>
        <a:xfrm flipV="1">
          <a:off x="4152900" y="2207325"/>
          <a:ext cx="944880" cy="247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91440</xdr:colOff>
      <xdr:row>6</xdr:row>
      <xdr:rowOff>99060</xdr:rowOff>
    </xdr:from>
    <xdr:to>
      <xdr:col>5</xdr:col>
      <xdr:colOff>226697</xdr:colOff>
      <xdr:row>8</xdr:row>
      <xdr:rowOff>114300</xdr:rowOff>
    </xdr:to>
    <xdr:sp macro="" textlink="">
      <xdr:nvSpPr>
        <xdr:cNvPr id="50" name="Rounded Rectangle 194">
          <a:extLst>
            <a:ext uri="{FF2B5EF4-FFF2-40B4-BE49-F238E27FC236}">
              <a16:creationId xmlns:a16="http://schemas.microsoft.com/office/drawing/2014/main" id="{11A47AD1-14BD-4326-AE24-7C751D877110}"/>
            </a:ext>
          </a:extLst>
        </xdr:cNvPr>
        <xdr:cNvSpPr/>
      </xdr:nvSpPr>
      <xdr:spPr>
        <a:xfrm>
          <a:off x="1645920" y="1333500"/>
          <a:ext cx="531497" cy="36576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FRC Tune</a:t>
          </a:r>
        </a:p>
      </xdr:txBody>
    </xdr:sp>
    <xdr:clientData/>
  </xdr:twoCellAnchor>
  <xdr:twoCellAnchor>
    <xdr:from>
      <xdr:col>4</xdr:col>
      <xdr:colOff>354330</xdr:colOff>
      <xdr:row>8</xdr:row>
      <xdr:rowOff>114300</xdr:rowOff>
    </xdr:from>
    <xdr:to>
      <xdr:col>4</xdr:col>
      <xdr:colOff>357189</xdr:colOff>
      <xdr:row>9</xdr:row>
      <xdr:rowOff>167640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3DEDE2C5-11F5-4AC1-8B04-1856F93B72D0}"/>
            </a:ext>
          </a:extLst>
        </xdr:cNvPr>
        <xdr:cNvCxnSpPr>
          <a:stCxn id="50" idx="2"/>
          <a:endCxn id="36" idx="0"/>
        </xdr:cNvCxnSpPr>
      </xdr:nvCxnSpPr>
      <xdr:spPr>
        <a:xfrm flipH="1">
          <a:off x="1908810" y="1699260"/>
          <a:ext cx="2859" cy="22860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198121</xdr:colOff>
      <xdr:row>9</xdr:row>
      <xdr:rowOff>121920</xdr:rowOff>
    </xdr:from>
    <xdr:ext cx="891539" cy="64008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3D3959D-2FBB-48B7-8B9D-81D8895639C9}"/>
            </a:ext>
          </a:extLst>
        </xdr:cNvPr>
        <xdr:cNvSpPr txBox="1"/>
      </xdr:nvSpPr>
      <xdr:spPr>
        <a:xfrm>
          <a:off x="518161" y="1882140"/>
          <a:ext cx="891539" cy="640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Internal Fast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RC Oscillator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198120</xdr:colOff>
      <xdr:row>25</xdr:row>
      <xdr:rowOff>114300</xdr:rowOff>
    </xdr:from>
    <xdr:ext cx="891539" cy="64008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F0411A4-5495-46BB-9D42-56BE0593FF26}"/>
            </a:ext>
          </a:extLst>
        </xdr:cNvPr>
        <xdr:cNvSpPr txBox="1"/>
      </xdr:nvSpPr>
      <xdr:spPr>
        <a:xfrm>
          <a:off x="518160" y="4686300"/>
          <a:ext cx="891539" cy="640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External Primany </a:t>
          </a:r>
          <a:r>
            <a:rPr lang="en-US" sz="1200" b="1" baseline="0">
              <a:latin typeface="Arial" pitchFamily="34" charset="0"/>
              <a:cs typeface="Arial" pitchFamily="34" charset="0"/>
            </a:rPr>
            <a:t>Oscillator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9</xdr:col>
      <xdr:colOff>518160</xdr:colOff>
      <xdr:row>24</xdr:row>
      <xdr:rowOff>38100</xdr:rowOff>
    </xdr:from>
    <xdr:ext cx="620811" cy="269369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26533AF-FB3A-428C-8B56-23844080A744}"/>
            </a:ext>
          </a:extLst>
        </xdr:cNvPr>
        <xdr:cNvSpPr txBox="1"/>
      </xdr:nvSpPr>
      <xdr:spPr>
        <a:xfrm>
          <a:off x="5135880" y="4434840"/>
          <a:ext cx="62081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POSC</a:t>
          </a:r>
        </a:p>
      </xdr:txBody>
    </xdr:sp>
    <xdr:clientData/>
  </xdr:oneCellAnchor>
  <xdr:oneCellAnchor>
    <xdr:from>
      <xdr:col>9</xdr:col>
      <xdr:colOff>480060</xdr:colOff>
      <xdr:row>10</xdr:row>
      <xdr:rowOff>137160</xdr:rowOff>
    </xdr:from>
    <xdr:ext cx="890115" cy="269369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1515ABE3-0029-4195-AA4C-91F6674BE69F}"/>
            </a:ext>
          </a:extLst>
        </xdr:cNvPr>
        <xdr:cNvSpPr txBox="1"/>
      </xdr:nvSpPr>
      <xdr:spPr>
        <a:xfrm>
          <a:off x="5097780" y="2072640"/>
          <a:ext cx="89011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FRCDIV =</a:t>
          </a:r>
        </a:p>
      </xdr:txBody>
    </xdr:sp>
    <xdr:clientData/>
  </xdr:oneCellAnchor>
  <xdr:oneCellAnchor>
    <xdr:from>
      <xdr:col>18</xdr:col>
      <xdr:colOff>304800</xdr:colOff>
      <xdr:row>16</xdr:row>
      <xdr:rowOff>144780</xdr:rowOff>
    </xdr:from>
    <xdr:ext cx="710644" cy="269369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3A0CDD5D-0359-474F-9301-A1551A8985A5}"/>
            </a:ext>
          </a:extLst>
        </xdr:cNvPr>
        <xdr:cNvSpPr txBox="1"/>
      </xdr:nvSpPr>
      <xdr:spPr>
        <a:xfrm>
          <a:off x="10370820" y="3139440"/>
          <a:ext cx="710644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SPLL =</a:t>
          </a:r>
        </a:p>
      </xdr:txBody>
    </xdr:sp>
    <xdr:clientData/>
  </xdr:oneCellAnchor>
  <xdr:twoCellAnchor>
    <xdr:from>
      <xdr:col>11</xdr:col>
      <xdr:colOff>137160</xdr:colOff>
      <xdr:row>28</xdr:row>
      <xdr:rowOff>51435</xdr:rowOff>
    </xdr:from>
    <xdr:to>
      <xdr:col>12</xdr:col>
      <xdr:colOff>350520</xdr:colOff>
      <xdr:row>30</xdr:row>
      <xdr:rowOff>66675</xdr:rowOff>
    </xdr:to>
    <xdr:sp macro="" textlink="">
      <xdr:nvSpPr>
        <xdr:cNvPr id="57" name="Rounded Rectangle 209">
          <a:extLst>
            <a:ext uri="{FF2B5EF4-FFF2-40B4-BE49-F238E27FC236}">
              <a16:creationId xmlns:a16="http://schemas.microsoft.com/office/drawing/2014/main" id="{8E6EA7B4-246F-47BD-931B-CFCA71084791}"/>
            </a:ext>
          </a:extLst>
        </xdr:cNvPr>
        <xdr:cNvSpPr/>
      </xdr:nvSpPr>
      <xdr:spPr>
        <a:xfrm>
          <a:off x="6126480" y="5149215"/>
          <a:ext cx="685800" cy="36576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USB PLL</a:t>
          </a:r>
        </a:p>
      </xdr:txBody>
    </xdr:sp>
    <xdr:clientData/>
  </xdr:twoCellAnchor>
  <xdr:twoCellAnchor>
    <xdr:from>
      <xdr:col>11</xdr:col>
      <xdr:colOff>152400</xdr:colOff>
      <xdr:row>31</xdr:row>
      <xdr:rowOff>116206</xdr:rowOff>
    </xdr:from>
    <xdr:to>
      <xdr:col>12</xdr:col>
      <xdr:colOff>342900</xdr:colOff>
      <xdr:row>33</xdr:row>
      <xdr:rowOff>131446</xdr:rowOff>
    </xdr:to>
    <xdr:sp macro="" textlink="">
      <xdr:nvSpPr>
        <xdr:cNvPr id="58" name="Rounded Rectangle 210">
          <a:extLst>
            <a:ext uri="{FF2B5EF4-FFF2-40B4-BE49-F238E27FC236}">
              <a16:creationId xmlns:a16="http://schemas.microsoft.com/office/drawing/2014/main" id="{9C4CBC27-8FDD-4F5A-BE73-10B9DE49DAC0}"/>
            </a:ext>
          </a:extLst>
        </xdr:cNvPr>
        <xdr:cNvSpPr/>
      </xdr:nvSpPr>
      <xdr:spPr>
        <a:xfrm>
          <a:off x="6141720" y="5739766"/>
          <a:ext cx="662940" cy="36576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USB PLL Enable</a:t>
          </a:r>
        </a:p>
      </xdr:txBody>
    </xdr:sp>
    <xdr:clientData/>
  </xdr:twoCellAnchor>
  <xdr:twoCellAnchor>
    <xdr:from>
      <xdr:col>12</xdr:col>
      <xdr:colOff>7620</xdr:colOff>
      <xdr:row>30</xdr:row>
      <xdr:rowOff>66675</xdr:rowOff>
    </xdr:from>
    <xdr:to>
      <xdr:col>12</xdr:col>
      <xdr:colOff>11430</xdr:colOff>
      <xdr:row>31</xdr:row>
      <xdr:rowOff>116206</xdr:rowOff>
    </xdr:to>
    <xdr:cxnSp macro="">
      <xdr:nvCxnSpPr>
        <xdr:cNvPr id="59" name="Straight Arrow Connector 58">
          <a:extLst>
            <a:ext uri="{FF2B5EF4-FFF2-40B4-BE49-F238E27FC236}">
              <a16:creationId xmlns:a16="http://schemas.microsoft.com/office/drawing/2014/main" id="{3782A432-27B2-4161-8688-8524F552E0C2}"/>
            </a:ext>
          </a:extLst>
        </xdr:cNvPr>
        <xdr:cNvCxnSpPr>
          <a:stCxn id="58" idx="0"/>
          <a:endCxn id="57" idx="2"/>
        </xdr:cNvCxnSpPr>
      </xdr:nvCxnSpPr>
      <xdr:spPr>
        <a:xfrm flipH="1" flipV="1">
          <a:off x="6469380" y="5514975"/>
          <a:ext cx="3810" cy="224791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196215</xdr:colOff>
      <xdr:row>29</xdr:row>
      <xdr:rowOff>59055</xdr:rowOff>
    </xdr:from>
    <xdr:to>
      <xdr:col>11</xdr:col>
      <xdr:colOff>137160</xdr:colOff>
      <xdr:row>29</xdr:row>
      <xdr:rowOff>60960</xdr:rowOff>
    </xdr:to>
    <xdr:cxnSp macro="">
      <xdr:nvCxnSpPr>
        <xdr:cNvPr id="60" name="Straight Arrow Connector 59">
          <a:extLst>
            <a:ext uri="{FF2B5EF4-FFF2-40B4-BE49-F238E27FC236}">
              <a16:creationId xmlns:a16="http://schemas.microsoft.com/office/drawing/2014/main" id="{6B3592CD-56C4-47BC-821E-AD866B68F56D}"/>
            </a:ext>
          </a:extLst>
        </xdr:cNvPr>
        <xdr:cNvCxnSpPr>
          <a:endCxn id="57" idx="1"/>
        </xdr:cNvCxnSpPr>
      </xdr:nvCxnSpPr>
      <xdr:spPr>
        <a:xfrm flipV="1">
          <a:off x="4813935" y="5332095"/>
          <a:ext cx="1312545" cy="190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198120</xdr:colOff>
      <xdr:row>24</xdr:row>
      <xdr:rowOff>160020</xdr:rowOff>
    </xdr:from>
    <xdr:to>
      <xdr:col>9</xdr:col>
      <xdr:colOff>205740</xdr:colOff>
      <xdr:row>29</xdr:row>
      <xdr:rowOff>60960</xdr:rowOff>
    </xdr:to>
    <xdr:cxnSp macro="">
      <xdr:nvCxnSpPr>
        <xdr:cNvPr id="61" name="Straight Arrow Connector 60">
          <a:extLst>
            <a:ext uri="{FF2B5EF4-FFF2-40B4-BE49-F238E27FC236}">
              <a16:creationId xmlns:a16="http://schemas.microsoft.com/office/drawing/2014/main" id="{6A19567D-F4A9-4B34-B226-DAABB5998980}"/>
            </a:ext>
          </a:extLst>
        </xdr:cNvPr>
        <xdr:cNvCxnSpPr/>
      </xdr:nvCxnSpPr>
      <xdr:spPr>
        <a:xfrm>
          <a:off x="4815840" y="4556760"/>
          <a:ext cx="7620" cy="77724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350520</xdr:colOff>
      <xdr:row>29</xdr:row>
      <xdr:rowOff>58485</xdr:rowOff>
    </xdr:from>
    <xdr:to>
      <xdr:col>13</xdr:col>
      <xdr:colOff>152400</xdr:colOff>
      <xdr:row>29</xdr:row>
      <xdr:rowOff>59055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BD84483B-707D-45A7-B2D5-ADAC5C9E802A}"/>
            </a:ext>
          </a:extLst>
        </xdr:cNvPr>
        <xdr:cNvCxnSpPr>
          <a:stCxn id="57" idx="3"/>
          <a:endCxn id="63" idx="1"/>
        </xdr:cNvCxnSpPr>
      </xdr:nvCxnSpPr>
      <xdr:spPr>
        <a:xfrm flipV="1">
          <a:off x="6812280" y="5331525"/>
          <a:ext cx="312420" cy="57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152400</xdr:colOff>
      <xdr:row>28</xdr:row>
      <xdr:rowOff>99060</xdr:rowOff>
    </xdr:from>
    <xdr:ext cx="825803" cy="269369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DDC0791-87F5-4621-80E4-C6D7DDB6872E}"/>
            </a:ext>
          </a:extLst>
        </xdr:cNvPr>
        <xdr:cNvSpPr txBox="1"/>
      </xdr:nvSpPr>
      <xdr:spPr>
        <a:xfrm>
          <a:off x="7124700" y="5196840"/>
          <a:ext cx="82580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USBCLK</a:t>
          </a:r>
        </a:p>
      </xdr:txBody>
    </xdr:sp>
    <xdr:clientData/>
  </xdr:oneCellAnchor>
  <xdr:twoCellAnchor>
    <xdr:from>
      <xdr:col>5</xdr:col>
      <xdr:colOff>224790</xdr:colOff>
      <xdr:row>46</xdr:row>
      <xdr:rowOff>50865</xdr:rowOff>
    </xdr:from>
    <xdr:to>
      <xdr:col>8</xdr:col>
      <xdr:colOff>464820</xdr:colOff>
      <xdr:row>46</xdr:row>
      <xdr:rowOff>51435</xdr:rowOff>
    </xdr:to>
    <xdr:cxnSp macro="">
      <xdr:nvCxnSpPr>
        <xdr:cNvPr id="64" name="Straight Arrow Connector 63">
          <a:extLst>
            <a:ext uri="{FF2B5EF4-FFF2-40B4-BE49-F238E27FC236}">
              <a16:creationId xmlns:a16="http://schemas.microsoft.com/office/drawing/2014/main" id="{841FAEB6-0A36-44EB-A740-0CB70302DBF5}"/>
            </a:ext>
          </a:extLst>
        </xdr:cNvPr>
        <xdr:cNvCxnSpPr>
          <a:stCxn id="66" idx="3"/>
          <a:endCxn id="97" idx="1"/>
        </xdr:cNvCxnSpPr>
      </xdr:nvCxnSpPr>
      <xdr:spPr>
        <a:xfrm flipV="1">
          <a:off x="2175510" y="8303325"/>
          <a:ext cx="2167890" cy="57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74295</xdr:colOff>
      <xdr:row>45</xdr:row>
      <xdr:rowOff>144780</xdr:rowOff>
    </xdr:from>
    <xdr:to>
      <xdr:col>5</xdr:col>
      <xdr:colOff>230505</xdr:colOff>
      <xdr:row>46</xdr:row>
      <xdr:rowOff>129540</xdr:rowOff>
    </xdr:to>
    <xdr:grpSp>
      <xdr:nvGrpSpPr>
        <xdr:cNvPr id="65" name="Group 64">
          <a:extLst>
            <a:ext uri="{FF2B5EF4-FFF2-40B4-BE49-F238E27FC236}">
              <a16:creationId xmlns:a16="http://schemas.microsoft.com/office/drawing/2014/main" id="{D5BC269B-7F90-4171-AF35-0988D20BE667}"/>
            </a:ext>
          </a:extLst>
        </xdr:cNvPr>
        <xdr:cNvGrpSpPr/>
      </xdr:nvGrpSpPr>
      <xdr:grpSpPr>
        <a:xfrm>
          <a:off x="2025015" y="8221980"/>
          <a:ext cx="156210" cy="160020"/>
          <a:chOff x="7957185" y="6433185"/>
          <a:chExt cx="156210" cy="160020"/>
        </a:xfrm>
      </xdr:grpSpPr>
      <xdr:sp macro="" textlink="">
        <xdr:nvSpPr>
          <xdr:cNvPr id="66" name="Rectangle 65">
            <a:extLst>
              <a:ext uri="{FF2B5EF4-FFF2-40B4-BE49-F238E27FC236}">
                <a16:creationId xmlns:a16="http://schemas.microsoft.com/office/drawing/2014/main" id="{696F2A00-08BF-4316-8731-99201683C11B}"/>
              </a:ext>
            </a:extLst>
          </xdr:cNvPr>
          <xdr:cNvSpPr/>
        </xdr:nvSpPr>
        <xdr:spPr>
          <a:xfrm>
            <a:off x="7962900" y="6438900"/>
            <a:ext cx="144780" cy="152400"/>
          </a:xfrm>
          <a:prstGeom prst="rect">
            <a:avLst/>
          </a:prstGeom>
          <a:solidFill>
            <a:schemeClr val="bg1"/>
          </a:solidFill>
          <a:ln w="222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cxnSp macro="">
        <xdr:nvCxnSpPr>
          <xdr:cNvPr id="67" name="Straight Connector 66">
            <a:extLst>
              <a:ext uri="{FF2B5EF4-FFF2-40B4-BE49-F238E27FC236}">
                <a16:creationId xmlns:a16="http://schemas.microsoft.com/office/drawing/2014/main" id="{F7F2E596-34B5-4E29-A07D-96CE7F0DD224}"/>
              </a:ext>
            </a:extLst>
          </xdr:cNvPr>
          <xdr:cNvCxnSpPr/>
        </xdr:nvCxnSpPr>
        <xdr:spPr>
          <a:xfrm flipV="1">
            <a:off x="7957185" y="6433185"/>
            <a:ext cx="148590" cy="16002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Straight Connector 67">
            <a:extLst>
              <a:ext uri="{FF2B5EF4-FFF2-40B4-BE49-F238E27FC236}">
                <a16:creationId xmlns:a16="http://schemas.microsoft.com/office/drawing/2014/main" id="{0559812A-41D8-42FC-87F2-F4F644248053}"/>
              </a:ext>
            </a:extLst>
          </xdr:cNvPr>
          <xdr:cNvCxnSpPr/>
        </xdr:nvCxnSpPr>
        <xdr:spPr>
          <a:xfrm flipH="1" flipV="1">
            <a:off x="7962901" y="6442710"/>
            <a:ext cx="150494" cy="14859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76200</xdr:colOff>
      <xdr:row>50</xdr:row>
      <xdr:rowOff>154305</xdr:rowOff>
    </xdr:from>
    <xdr:to>
      <xdr:col>5</xdr:col>
      <xdr:colOff>232410</xdr:colOff>
      <xdr:row>51</xdr:row>
      <xdr:rowOff>131445</xdr:rowOff>
    </xdr:to>
    <xdr:grpSp>
      <xdr:nvGrpSpPr>
        <xdr:cNvPr id="69" name="Group 68">
          <a:extLst>
            <a:ext uri="{FF2B5EF4-FFF2-40B4-BE49-F238E27FC236}">
              <a16:creationId xmlns:a16="http://schemas.microsoft.com/office/drawing/2014/main" id="{A7950ED5-AECB-4180-B5BB-012F5673EE04}"/>
            </a:ext>
          </a:extLst>
        </xdr:cNvPr>
        <xdr:cNvGrpSpPr/>
      </xdr:nvGrpSpPr>
      <xdr:grpSpPr>
        <a:xfrm>
          <a:off x="2026920" y="9107805"/>
          <a:ext cx="156210" cy="152400"/>
          <a:chOff x="7957185" y="6433185"/>
          <a:chExt cx="156210" cy="160020"/>
        </a:xfrm>
      </xdr:grpSpPr>
      <xdr:sp macro="" textlink="">
        <xdr:nvSpPr>
          <xdr:cNvPr id="70" name="Rectangle 69">
            <a:extLst>
              <a:ext uri="{FF2B5EF4-FFF2-40B4-BE49-F238E27FC236}">
                <a16:creationId xmlns:a16="http://schemas.microsoft.com/office/drawing/2014/main" id="{2E56836A-D0CF-4E52-8F3F-13D0ECFAB49E}"/>
              </a:ext>
            </a:extLst>
          </xdr:cNvPr>
          <xdr:cNvSpPr/>
        </xdr:nvSpPr>
        <xdr:spPr>
          <a:xfrm>
            <a:off x="7962900" y="6438900"/>
            <a:ext cx="144780" cy="152400"/>
          </a:xfrm>
          <a:prstGeom prst="rect">
            <a:avLst/>
          </a:prstGeom>
          <a:solidFill>
            <a:schemeClr val="bg1"/>
          </a:solidFill>
          <a:ln w="222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cxnSp macro="">
        <xdr:nvCxnSpPr>
          <xdr:cNvPr id="71" name="Straight Connector 70">
            <a:extLst>
              <a:ext uri="{FF2B5EF4-FFF2-40B4-BE49-F238E27FC236}">
                <a16:creationId xmlns:a16="http://schemas.microsoft.com/office/drawing/2014/main" id="{AD845C30-F497-4EB7-B905-F32CC9B05C27}"/>
              </a:ext>
            </a:extLst>
          </xdr:cNvPr>
          <xdr:cNvCxnSpPr/>
        </xdr:nvCxnSpPr>
        <xdr:spPr>
          <a:xfrm flipV="1">
            <a:off x="7957185" y="6433185"/>
            <a:ext cx="148590" cy="16002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Straight Connector 71">
            <a:extLst>
              <a:ext uri="{FF2B5EF4-FFF2-40B4-BE49-F238E27FC236}">
                <a16:creationId xmlns:a16="http://schemas.microsoft.com/office/drawing/2014/main" id="{F3DB26CD-176D-47E7-B677-01C9F37EEF27}"/>
              </a:ext>
            </a:extLst>
          </xdr:cNvPr>
          <xdr:cNvCxnSpPr/>
        </xdr:nvCxnSpPr>
        <xdr:spPr>
          <a:xfrm flipH="1" flipV="1">
            <a:off x="7962901" y="6442710"/>
            <a:ext cx="150494" cy="14859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226695</xdr:colOff>
      <xdr:row>51</xdr:row>
      <xdr:rowOff>57060</xdr:rowOff>
    </xdr:from>
    <xdr:to>
      <xdr:col>6</xdr:col>
      <xdr:colOff>350520</xdr:colOff>
      <xdr:row>51</xdr:row>
      <xdr:rowOff>57150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D977E063-82B6-4663-AB07-4CFEFC4EA0E8}"/>
            </a:ext>
          </a:extLst>
        </xdr:cNvPr>
        <xdr:cNvCxnSpPr>
          <a:endCxn id="70" idx="3"/>
        </xdr:cNvCxnSpPr>
      </xdr:nvCxnSpPr>
      <xdr:spPr>
        <a:xfrm flipH="1" flipV="1">
          <a:off x="2177415" y="9185820"/>
          <a:ext cx="710565" cy="9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382905</xdr:colOff>
      <xdr:row>46</xdr:row>
      <xdr:rowOff>47625</xdr:rowOff>
    </xdr:from>
    <xdr:to>
      <xdr:col>5</xdr:col>
      <xdr:colOff>582930</xdr:colOff>
      <xdr:row>51</xdr:row>
      <xdr:rowOff>57150</xdr:rowOff>
    </xdr:to>
    <xdr:grpSp>
      <xdr:nvGrpSpPr>
        <xdr:cNvPr id="74" name="Group 73">
          <a:extLst>
            <a:ext uri="{FF2B5EF4-FFF2-40B4-BE49-F238E27FC236}">
              <a16:creationId xmlns:a16="http://schemas.microsoft.com/office/drawing/2014/main" id="{BA3D4C4F-FF64-4B43-A229-38FAC6132F8D}"/>
            </a:ext>
          </a:extLst>
        </xdr:cNvPr>
        <xdr:cNvGrpSpPr/>
      </xdr:nvGrpSpPr>
      <xdr:grpSpPr>
        <a:xfrm>
          <a:off x="2333625" y="8300085"/>
          <a:ext cx="200025" cy="885825"/>
          <a:chOff x="8985885" y="6543675"/>
          <a:chExt cx="139065" cy="923925"/>
        </a:xfrm>
      </xdr:grpSpPr>
      <xdr:cxnSp macro="">
        <xdr:nvCxnSpPr>
          <xdr:cNvPr id="75" name="Straight Connector 74">
            <a:extLst>
              <a:ext uri="{FF2B5EF4-FFF2-40B4-BE49-F238E27FC236}">
                <a16:creationId xmlns:a16="http://schemas.microsoft.com/office/drawing/2014/main" id="{92C9AE4A-6EB9-4450-B4DF-C5B4D6F9C936}"/>
              </a:ext>
            </a:extLst>
          </xdr:cNvPr>
          <xdr:cNvCxnSpPr/>
        </xdr:nvCxnSpPr>
        <xdr:spPr>
          <a:xfrm>
            <a:off x="9056370" y="7187565"/>
            <a:ext cx="3810" cy="280035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Straight Connector 75">
            <a:extLst>
              <a:ext uri="{FF2B5EF4-FFF2-40B4-BE49-F238E27FC236}">
                <a16:creationId xmlns:a16="http://schemas.microsoft.com/office/drawing/2014/main" id="{3E3861F2-6B7A-4167-B98F-137177717F6C}"/>
              </a:ext>
            </a:extLst>
          </xdr:cNvPr>
          <xdr:cNvCxnSpPr/>
        </xdr:nvCxnSpPr>
        <xdr:spPr>
          <a:xfrm>
            <a:off x="9056370" y="6819900"/>
            <a:ext cx="66675" cy="3429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Straight Connector 76">
            <a:extLst>
              <a:ext uri="{FF2B5EF4-FFF2-40B4-BE49-F238E27FC236}">
                <a16:creationId xmlns:a16="http://schemas.microsoft.com/office/drawing/2014/main" id="{1FE252D3-BEC9-4CEA-BD75-4535E2A2C57C}"/>
              </a:ext>
            </a:extLst>
          </xdr:cNvPr>
          <xdr:cNvCxnSpPr/>
        </xdr:nvCxnSpPr>
        <xdr:spPr>
          <a:xfrm flipV="1">
            <a:off x="9052560" y="7145655"/>
            <a:ext cx="68580" cy="40005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Straight Connector 77">
            <a:extLst>
              <a:ext uri="{FF2B5EF4-FFF2-40B4-BE49-F238E27FC236}">
                <a16:creationId xmlns:a16="http://schemas.microsoft.com/office/drawing/2014/main" id="{941E18A2-975E-4C99-A00B-30B23F01476C}"/>
              </a:ext>
            </a:extLst>
          </xdr:cNvPr>
          <xdr:cNvCxnSpPr/>
        </xdr:nvCxnSpPr>
        <xdr:spPr>
          <a:xfrm>
            <a:off x="8985885" y="6926580"/>
            <a:ext cx="139065" cy="7239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Straight Connector 78">
            <a:extLst>
              <a:ext uri="{FF2B5EF4-FFF2-40B4-BE49-F238E27FC236}">
                <a16:creationId xmlns:a16="http://schemas.microsoft.com/office/drawing/2014/main" id="{E7ECAA7C-7AE6-479C-AE6D-FA9825A93031}"/>
              </a:ext>
            </a:extLst>
          </xdr:cNvPr>
          <xdr:cNvCxnSpPr/>
        </xdr:nvCxnSpPr>
        <xdr:spPr>
          <a:xfrm>
            <a:off x="8985885" y="7077075"/>
            <a:ext cx="139065" cy="7239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Straight Connector 79">
            <a:extLst>
              <a:ext uri="{FF2B5EF4-FFF2-40B4-BE49-F238E27FC236}">
                <a16:creationId xmlns:a16="http://schemas.microsoft.com/office/drawing/2014/main" id="{08918461-3273-4966-AC66-0A663A09A2AD}"/>
              </a:ext>
            </a:extLst>
          </xdr:cNvPr>
          <xdr:cNvCxnSpPr/>
        </xdr:nvCxnSpPr>
        <xdr:spPr>
          <a:xfrm flipV="1">
            <a:off x="8989695" y="6852285"/>
            <a:ext cx="131445" cy="7239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Straight Connector 80">
            <a:extLst>
              <a:ext uri="{FF2B5EF4-FFF2-40B4-BE49-F238E27FC236}">
                <a16:creationId xmlns:a16="http://schemas.microsoft.com/office/drawing/2014/main" id="{04E5AF91-9B6B-4BF4-A4A0-1E29E45F886D}"/>
              </a:ext>
            </a:extLst>
          </xdr:cNvPr>
          <xdr:cNvCxnSpPr/>
        </xdr:nvCxnSpPr>
        <xdr:spPr>
          <a:xfrm flipV="1">
            <a:off x="8993505" y="7000875"/>
            <a:ext cx="131445" cy="7239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Straight Connector 81">
            <a:extLst>
              <a:ext uri="{FF2B5EF4-FFF2-40B4-BE49-F238E27FC236}">
                <a16:creationId xmlns:a16="http://schemas.microsoft.com/office/drawing/2014/main" id="{DD015287-27DE-47F5-B0A8-944093591725}"/>
              </a:ext>
            </a:extLst>
          </xdr:cNvPr>
          <xdr:cNvCxnSpPr/>
        </xdr:nvCxnSpPr>
        <xdr:spPr>
          <a:xfrm>
            <a:off x="9054465" y="6543675"/>
            <a:ext cx="1905" cy="276225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139065</xdr:colOff>
      <xdr:row>46</xdr:row>
      <xdr:rowOff>55245</xdr:rowOff>
    </xdr:from>
    <xdr:to>
      <xdr:col>6</xdr:col>
      <xdr:colOff>542925</xdr:colOff>
      <xdr:row>51</xdr:row>
      <xdr:rowOff>62866</xdr:rowOff>
    </xdr:to>
    <xdr:grpSp>
      <xdr:nvGrpSpPr>
        <xdr:cNvPr id="83" name="Group 82">
          <a:extLst>
            <a:ext uri="{FF2B5EF4-FFF2-40B4-BE49-F238E27FC236}">
              <a16:creationId xmlns:a16="http://schemas.microsoft.com/office/drawing/2014/main" id="{DF2011B8-A421-4C1E-BE13-8B7D0AD32F0C}"/>
            </a:ext>
          </a:extLst>
        </xdr:cNvPr>
        <xdr:cNvGrpSpPr/>
      </xdr:nvGrpSpPr>
      <xdr:grpSpPr>
        <a:xfrm>
          <a:off x="2676525" y="8307705"/>
          <a:ext cx="403860" cy="883921"/>
          <a:chOff x="9351645" y="6551295"/>
          <a:chExt cx="411480" cy="922021"/>
        </a:xfrm>
      </xdr:grpSpPr>
      <xdr:cxnSp macro="">
        <xdr:nvCxnSpPr>
          <xdr:cNvPr id="84" name="Straight Connector 83">
            <a:extLst>
              <a:ext uri="{FF2B5EF4-FFF2-40B4-BE49-F238E27FC236}">
                <a16:creationId xmlns:a16="http://schemas.microsoft.com/office/drawing/2014/main" id="{DF7D4233-5B93-468C-8340-34B74804AB20}"/>
              </a:ext>
            </a:extLst>
          </xdr:cNvPr>
          <xdr:cNvCxnSpPr/>
        </xdr:nvCxnSpPr>
        <xdr:spPr>
          <a:xfrm flipH="1" flipV="1">
            <a:off x="9557385" y="6551295"/>
            <a:ext cx="1" cy="922021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5" name="Isosceles Triangle 84">
            <a:extLst>
              <a:ext uri="{FF2B5EF4-FFF2-40B4-BE49-F238E27FC236}">
                <a16:creationId xmlns:a16="http://schemas.microsoft.com/office/drawing/2014/main" id="{47BFA1B1-1CD7-4FB0-91FC-F7C03229EA9C}"/>
              </a:ext>
            </a:extLst>
          </xdr:cNvPr>
          <xdr:cNvSpPr/>
        </xdr:nvSpPr>
        <xdr:spPr>
          <a:xfrm rot="10800000">
            <a:off x="9351645" y="6812280"/>
            <a:ext cx="411480" cy="35814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6" name="Oval 85">
            <a:extLst>
              <a:ext uri="{FF2B5EF4-FFF2-40B4-BE49-F238E27FC236}">
                <a16:creationId xmlns:a16="http://schemas.microsoft.com/office/drawing/2014/main" id="{963777B3-ABD9-4E0F-A313-9C3F6404DCE8}"/>
              </a:ext>
            </a:extLst>
          </xdr:cNvPr>
          <xdr:cNvSpPr/>
        </xdr:nvSpPr>
        <xdr:spPr>
          <a:xfrm>
            <a:off x="9536430" y="7168516"/>
            <a:ext cx="45719" cy="45719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6</xdr:col>
      <xdr:colOff>441960</xdr:colOff>
      <xdr:row>48</xdr:row>
      <xdr:rowOff>125730</xdr:rowOff>
    </xdr:from>
    <xdr:to>
      <xdr:col>7</xdr:col>
      <xdr:colOff>264795</xdr:colOff>
      <xdr:row>48</xdr:row>
      <xdr:rowOff>126596</xdr:rowOff>
    </xdr:to>
    <xdr:cxnSp macro="">
      <xdr:nvCxnSpPr>
        <xdr:cNvPr id="87" name="Straight Arrow Connector 86">
          <a:extLst>
            <a:ext uri="{FF2B5EF4-FFF2-40B4-BE49-F238E27FC236}">
              <a16:creationId xmlns:a16="http://schemas.microsoft.com/office/drawing/2014/main" id="{15BB7A64-859C-4BDA-A4BB-27B73AFF1B95}"/>
            </a:ext>
          </a:extLst>
        </xdr:cNvPr>
        <xdr:cNvCxnSpPr>
          <a:stCxn id="88" idx="1"/>
          <a:endCxn id="85" idx="1"/>
        </xdr:cNvCxnSpPr>
      </xdr:nvCxnSpPr>
      <xdr:spPr>
        <a:xfrm flipH="1">
          <a:off x="2979420" y="8728710"/>
          <a:ext cx="424815" cy="866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264795</xdr:colOff>
      <xdr:row>47</xdr:row>
      <xdr:rowOff>118110</xdr:rowOff>
    </xdr:from>
    <xdr:to>
      <xdr:col>8</xdr:col>
      <xdr:colOff>0</xdr:colOff>
      <xdr:row>49</xdr:row>
      <xdr:rowOff>133350</xdr:rowOff>
    </xdr:to>
    <xdr:sp macro="" textlink="">
      <xdr:nvSpPr>
        <xdr:cNvPr id="88" name="Rounded Rectangle 250">
          <a:extLst>
            <a:ext uri="{FF2B5EF4-FFF2-40B4-BE49-F238E27FC236}">
              <a16:creationId xmlns:a16="http://schemas.microsoft.com/office/drawing/2014/main" id="{550ACC5F-466E-4691-B342-62357E457B3B}"/>
            </a:ext>
          </a:extLst>
        </xdr:cNvPr>
        <xdr:cNvSpPr/>
      </xdr:nvSpPr>
      <xdr:spPr>
        <a:xfrm>
          <a:off x="3404235" y="8545830"/>
          <a:ext cx="474345" cy="36576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SOSC Enable</a:t>
          </a:r>
        </a:p>
      </xdr:txBody>
    </xdr:sp>
    <xdr:clientData/>
  </xdr:twoCellAnchor>
  <xdr:twoCellAnchor>
    <xdr:from>
      <xdr:col>3</xdr:col>
      <xdr:colOff>556260</xdr:colOff>
      <xdr:row>47</xdr:row>
      <xdr:rowOff>148590</xdr:rowOff>
    </xdr:from>
    <xdr:to>
      <xdr:col>5</xdr:col>
      <xdr:colOff>251459</xdr:colOff>
      <xdr:row>49</xdr:row>
      <xdr:rowOff>171450</xdr:rowOff>
    </xdr:to>
    <xdr:sp macro="" textlink="">
      <xdr:nvSpPr>
        <xdr:cNvPr id="89" name="Rounded Rectangle 251">
          <a:extLst>
            <a:ext uri="{FF2B5EF4-FFF2-40B4-BE49-F238E27FC236}">
              <a16:creationId xmlns:a16="http://schemas.microsoft.com/office/drawing/2014/main" id="{EEA9334C-94FB-4443-AB9A-E02FECF8491C}"/>
            </a:ext>
          </a:extLst>
        </xdr:cNvPr>
        <xdr:cNvSpPr/>
      </xdr:nvSpPr>
      <xdr:spPr>
        <a:xfrm>
          <a:off x="1539240" y="8576310"/>
          <a:ext cx="662939" cy="373380"/>
        </a:xfrm>
        <a:prstGeom prst="roundRect">
          <a:avLst/>
        </a:prstGeom>
        <a:solidFill>
          <a:srgbClr val="697C5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SOSC Oscillator</a:t>
          </a:r>
        </a:p>
      </xdr:txBody>
    </xdr:sp>
    <xdr:clientData/>
  </xdr:twoCellAnchor>
  <xdr:oneCellAnchor>
    <xdr:from>
      <xdr:col>1</xdr:col>
      <xdr:colOff>114300</xdr:colOff>
      <xdr:row>47</xdr:row>
      <xdr:rowOff>26670</xdr:rowOff>
    </xdr:from>
    <xdr:ext cx="975359" cy="64008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2F912EB5-553B-4E64-AE77-21B8566C37EB}"/>
            </a:ext>
          </a:extLst>
        </xdr:cNvPr>
        <xdr:cNvSpPr txBox="1"/>
      </xdr:nvSpPr>
      <xdr:spPr>
        <a:xfrm>
          <a:off x="434340" y="8454390"/>
          <a:ext cx="975359" cy="640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External Secondary </a:t>
          </a:r>
          <a:r>
            <a:rPr lang="en-US" sz="1200" b="1" baseline="0">
              <a:latin typeface="Arial" pitchFamily="34" charset="0"/>
              <a:cs typeface="Arial" pitchFamily="34" charset="0"/>
            </a:rPr>
            <a:t>Oscillator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4</xdr:col>
      <xdr:colOff>0</xdr:colOff>
      <xdr:row>36</xdr:row>
      <xdr:rowOff>167640</xdr:rowOff>
    </xdr:from>
    <xdr:to>
      <xdr:col>5</xdr:col>
      <xdr:colOff>297180</xdr:colOff>
      <xdr:row>40</xdr:row>
      <xdr:rowOff>7620</xdr:rowOff>
    </xdr:to>
    <xdr:sp macro="" textlink="">
      <xdr:nvSpPr>
        <xdr:cNvPr id="91" name="Rounded Rectangle 253">
          <a:extLst>
            <a:ext uri="{FF2B5EF4-FFF2-40B4-BE49-F238E27FC236}">
              <a16:creationId xmlns:a16="http://schemas.microsoft.com/office/drawing/2014/main" id="{037278AE-8A17-41CC-BF45-D082891F0654}"/>
            </a:ext>
          </a:extLst>
        </xdr:cNvPr>
        <xdr:cNvSpPr/>
      </xdr:nvSpPr>
      <xdr:spPr>
        <a:xfrm>
          <a:off x="1554480" y="6667500"/>
          <a:ext cx="693420" cy="541020"/>
        </a:xfrm>
        <a:prstGeom prst="roundRect">
          <a:avLst/>
        </a:prstGeom>
        <a:solidFill>
          <a:srgbClr val="697C5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BFRC Oscillator</a:t>
          </a:r>
        </a:p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8 MHz</a:t>
          </a:r>
        </a:p>
      </xdr:txBody>
    </xdr:sp>
    <xdr:clientData/>
  </xdr:twoCellAnchor>
  <xdr:twoCellAnchor>
    <xdr:from>
      <xdr:col>3</xdr:col>
      <xdr:colOff>563880</xdr:colOff>
      <xdr:row>40</xdr:row>
      <xdr:rowOff>160020</xdr:rowOff>
    </xdr:from>
    <xdr:to>
      <xdr:col>5</xdr:col>
      <xdr:colOff>297180</xdr:colOff>
      <xdr:row>44</xdr:row>
      <xdr:rowOff>0</xdr:rowOff>
    </xdr:to>
    <xdr:sp macro="" textlink="">
      <xdr:nvSpPr>
        <xdr:cNvPr id="92" name="Rounded Rectangle 255">
          <a:extLst>
            <a:ext uri="{FF2B5EF4-FFF2-40B4-BE49-F238E27FC236}">
              <a16:creationId xmlns:a16="http://schemas.microsoft.com/office/drawing/2014/main" id="{E56B9819-FB6D-442F-8E20-01A74867AD3D}"/>
            </a:ext>
          </a:extLst>
        </xdr:cNvPr>
        <xdr:cNvSpPr/>
      </xdr:nvSpPr>
      <xdr:spPr>
        <a:xfrm>
          <a:off x="1546860" y="7360920"/>
          <a:ext cx="701040" cy="541020"/>
        </a:xfrm>
        <a:prstGeom prst="roundRect">
          <a:avLst/>
        </a:prstGeom>
        <a:solidFill>
          <a:srgbClr val="697C5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LPRC Oscillator</a:t>
          </a:r>
        </a:p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32 KHz</a:t>
          </a:r>
        </a:p>
      </xdr:txBody>
    </xdr:sp>
    <xdr:clientData/>
  </xdr:twoCellAnchor>
  <xdr:twoCellAnchor>
    <xdr:from>
      <xdr:col>5</xdr:col>
      <xdr:colOff>297180</xdr:colOff>
      <xdr:row>38</xdr:row>
      <xdr:rowOff>87630</xdr:rowOff>
    </xdr:from>
    <xdr:to>
      <xdr:col>6</xdr:col>
      <xdr:colOff>297180</xdr:colOff>
      <xdr:row>38</xdr:row>
      <xdr:rowOff>88965</xdr:rowOff>
    </xdr:to>
    <xdr:cxnSp macro="">
      <xdr:nvCxnSpPr>
        <xdr:cNvPr id="93" name="Straight Arrow Connector 92">
          <a:extLst>
            <a:ext uri="{FF2B5EF4-FFF2-40B4-BE49-F238E27FC236}">
              <a16:creationId xmlns:a16="http://schemas.microsoft.com/office/drawing/2014/main" id="{E1A8AB7C-F510-4515-ACE6-4CB2B8B6AA84}"/>
            </a:ext>
          </a:extLst>
        </xdr:cNvPr>
        <xdr:cNvCxnSpPr>
          <a:stCxn id="91" idx="3"/>
          <a:endCxn id="94" idx="1"/>
        </xdr:cNvCxnSpPr>
      </xdr:nvCxnSpPr>
      <xdr:spPr>
        <a:xfrm>
          <a:off x="2247900" y="6938010"/>
          <a:ext cx="586740" cy="133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297180</xdr:colOff>
      <xdr:row>37</xdr:row>
      <xdr:rowOff>129540</xdr:rowOff>
    </xdr:from>
    <xdr:ext cx="612027" cy="26936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BFD2FC16-3857-45BF-982C-BEBE04E53F21}"/>
            </a:ext>
          </a:extLst>
        </xdr:cNvPr>
        <xdr:cNvSpPr txBox="1"/>
      </xdr:nvSpPr>
      <xdr:spPr>
        <a:xfrm>
          <a:off x="2834640" y="6804660"/>
          <a:ext cx="61202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BFRC</a:t>
          </a:r>
        </a:p>
      </xdr:txBody>
    </xdr:sp>
    <xdr:clientData/>
  </xdr:oneCellAnchor>
  <xdr:twoCellAnchor>
    <xdr:from>
      <xdr:col>5</xdr:col>
      <xdr:colOff>297180</xdr:colOff>
      <xdr:row>42</xdr:row>
      <xdr:rowOff>80010</xdr:rowOff>
    </xdr:from>
    <xdr:to>
      <xdr:col>6</xdr:col>
      <xdr:colOff>304800</xdr:colOff>
      <xdr:row>42</xdr:row>
      <xdr:rowOff>81345</xdr:rowOff>
    </xdr:to>
    <xdr:cxnSp macro="">
      <xdr:nvCxnSpPr>
        <xdr:cNvPr id="95" name="Straight Arrow Connector 94">
          <a:extLst>
            <a:ext uri="{FF2B5EF4-FFF2-40B4-BE49-F238E27FC236}">
              <a16:creationId xmlns:a16="http://schemas.microsoft.com/office/drawing/2014/main" id="{9198A701-BEE5-448F-91DA-7CED4D5E9AF4}"/>
            </a:ext>
          </a:extLst>
        </xdr:cNvPr>
        <xdr:cNvCxnSpPr>
          <a:stCxn id="92" idx="3"/>
          <a:endCxn id="96" idx="1"/>
        </xdr:cNvCxnSpPr>
      </xdr:nvCxnSpPr>
      <xdr:spPr>
        <a:xfrm>
          <a:off x="2247900" y="7631430"/>
          <a:ext cx="594360" cy="133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304800</xdr:colOff>
      <xdr:row>41</xdr:row>
      <xdr:rowOff>121920</xdr:rowOff>
    </xdr:from>
    <xdr:ext cx="603563" cy="26936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F4024A56-3997-4F44-940E-474BAADB064B}"/>
            </a:ext>
          </a:extLst>
        </xdr:cNvPr>
        <xdr:cNvSpPr txBox="1"/>
      </xdr:nvSpPr>
      <xdr:spPr>
        <a:xfrm>
          <a:off x="2842260" y="7498080"/>
          <a:ext cx="60356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LPRC</a:t>
          </a:r>
        </a:p>
      </xdr:txBody>
    </xdr:sp>
    <xdr:clientData/>
  </xdr:oneCellAnchor>
  <xdr:oneCellAnchor>
    <xdr:from>
      <xdr:col>8</xdr:col>
      <xdr:colOff>464820</xdr:colOff>
      <xdr:row>45</xdr:row>
      <xdr:rowOff>91440</xdr:rowOff>
    </xdr:from>
    <xdr:ext cx="620811" cy="26936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7D6C6367-E813-4413-B632-83E11D38F3E3}"/>
            </a:ext>
          </a:extLst>
        </xdr:cNvPr>
        <xdr:cNvSpPr txBox="1"/>
      </xdr:nvSpPr>
      <xdr:spPr>
        <a:xfrm>
          <a:off x="4343400" y="8168640"/>
          <a:ext cx="62081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SOSC</a:t>
          </a:r>
        </a:p>
      </xdr:txBody>
    </xdr:sp>
    <xdr:clientData/>
  </xdr:oneCellAnchor>
  <xdr:twoCellAnchor>
    <xdr:from>
      <xdr:col>6</xdr:col>
      <xdr:colOff>342900</xdr:colOff>
      <xdr:row>32</xdr:row>
      <xdr:rowOff>102871</xdr:rowOff>
    </xdr:from>
    <xdr:to>
      <xdr:col>7</xdr:col>
      <xdr:colOff>7620</xdr:colOff>
      <xdr:row>32</xdr:row>
      <xdr:rowOff>104205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210630D-DF09-4234-BC56-B8DA17B0682E}"/>
            </a:ext>
          </a:extLst>
        </xdr:cNvPr>
        <xdr:cNvCxnSpPr>
          <a:stCxn id="99" idx="1"/>
          <a:endCxn id="100" idx="3"/>
        </xdr:cNvCxnSpPr>
      </xdr:nvCxnSpPr>
      <xdr:spPr>
        <a:xfrm flipH="1" flipV="1">
          <a:off x="2880360" y="5901691"/>
          <a:ext cx="266700" cy="1334"/>
        </a:xfrm>
        <a:prstGeom prst="line">
          <a:avLst/>
        </a:prstGeom>
        <a:ln w="25400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7620</xdr:colOff>
      <xdr:row>31</xdr:row>
      <xdr:rowOff>144780</xdr:rowOff>
    </xdr:from>
    <xdr:ext cx="1188530" cy="26936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5E0ADEF4-24EB-4E9B-9775-ECC3D039EADB}"/>
            </a:ext>
          </a:extLst>
        </xdr:cNvPr>
        <xdr:cNvSpPr txBox="1"/>
      </xdr:nvSpPr>
      <xdr:spPr>
        <a:xfrm>
          <a:off x="3147060" y="5768340"/>
          <a:ext cx="118853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PBCLK1 ÷ 2 =</a:t>
          </a:r>
        </a:p>
      </xdr:txBody>
    </xdr:sp>
    <xdr:clientData/>
  </xdr:oneCellAnchor>
  <xdr:twoCellAnchor>
    <xdr:from>
      <xdr:col>5</xdr:col>
      <xdr:colOff>266700</xdr:colOff>
      <xdr:row>31</xdr:row>
      <xdr:rowOff>95251</xdr:rowOff>
    </xdr:from>
    <xdr:to>
      <xdr:col>6</xdr:col>
      <xdr:colOff>342900</xdr:colOff>
      <xdr:row>33</xdr:row>
      <xdr:rowOff>110491</xdr:rowOff>
    </xdr:to>
    <xdr:sp macro="" textlink="">
      <xdr:nvSpPr>
        <xdr:cNvPr id="100" name="Rounded Rectangle 276">
          <a:extLst>
            <a:ext uri="{FF2B5EF4-FFF2-40B4-BE49-F238E27FC236}">
              <a16:creationId xmlns:a16="http://schemas.microsoft.com/office/drawing/2014/main" id="{939A6952-2533-44A3-ABEC-294AC0B06A9B}"/>
            </a:ext>
          </a:extLst>
        </xdr:cNvPr>
        <xdr:cNvSpPr/>
      </xdr:nvSpPr>
      <xdr:spPr>
        <a:xfrm>
          <a:off x="2217420" y="5718811"/>
          <a:ext cx="662940" cy="36576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CLK Out Enable</a:t>
          </a:r>
        </a:p>
      </xdr:txBody>
    </xdr:sp>
    <xdr:clientData/>
  </xdr:twoCellAnchor>
  <xdr:twoCellAnchor>
    <xdr:from>
      <xdr:col>6</xdr:col>
      <xdr:colOff>7620</xdr:colOff>
      <xdr:row>30</xdr:row>
      <xdr:rowOff>45720</xdr:rowOff>
    </xdr:from>
    <xdr:to>
      <xdr:col>6</xdr:col>
      <xdr:colOff>11430</xdr:colOff>
      <xdr:row>31</xdr:row>
      <xdr:rowOff>95251</xdr:rowOff>
    </xdr:to>
    <xdr:cxnSp macro="">
      <xdr:nvCxnSpPr>
        <xdr:cNvPr id="101" name="Straight Arrow Connector 100">
          <a:extLst>
            <a:ext uri="{FF2B5EF4-FFF2-40B4-BE49-F238E27FC236}">
              <a16:creationId xmlns:a16="http://schemas.microsoft.com/office/drawing/2014/main" id="{8BF07A70-82C1-42B0-97D1-637DE28A923D}"/>
            </a:ext>
          </a:extLst>
        </xdr:cNvPr>
        <xdr:cNvCxnSpPr>
          <a:stCxn id="100" idx="0"/>
        </xdr:cNvCxnSpPr>
      </xdr:nvCxnSpPr>
      <xdr:spPr>
        <a:xfrm flipH="1" flipV="1">
          <a:off x="2545080" y="5494020"/>
          <a:ext cx="3810" cy="224791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152400</xdr:colOff>
      <xdr:row>36</xdr:row>
      <xdr:rowOff>129540</xdr:rowOff>
    </xdr:from>
    <xdr:ext cx="975359" cy="64008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167B1C49-CFD2-49BD-99CF-736BFEFF849C}"/>
            </a:ext>
          </a:extLst>
        </xdr:cNvPr>
        <xdr:cNvSpPr txBox="1"/>
      </xdr:nvSpPr>
      <xdr:spPr>
        <a:xfrm>
          <a:off x="472440" y="6629400"/>
          <a:ext cx="975359" cy="640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Backup RC </a:t>
          </a:r>
          <a:r>
            <a:rPr lang="en-US" sz="1200" b="1" baseline="0">
              <a:latin typeface="Arial" pitchFamily="34" charset="0"/>
              <a:cs typeface="Arial" pitchFamily="34" charset="0"/>
            </a:rPr>
            <a:t>Oscillator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137160</xdr:colOff>
      <xdr:row>40</xdr:row>
      <xdr:rowOff>121920</xdr:rowOff>
    </xdr:from>
    <xdr:ext cx="1036319" cy="64008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8FC41995-1506-46F2-9885-0D27FC4F51E3}"/>
            </a:ext>
          </a:extLst>
        </xdr:cNvPr>
        <xdr:cNvSpPr txBox="1"/>
      </xdr:nvSpPr>
      <xdr:spPr>
        <a:xfrm>
          <a:off x="457200" y="7322820"/>
          <a:ext cx="1036319" cy="640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Low Power RC </a:t>
          </a:r>
          <a:r>
            <a:rPr lang="en-US" sz="1200" b="1" baseline="0">
              <a:latin typeface="Arial" pitchFamily="34" charset="0"/>
              <a:cs typeface="Arial" pitchFamily="34" charset="0"/>
            </a:rPr>
            <a:t>Oscillator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13</xdr:col>
      <xdr:colOff>426720</xdr:colOff>
      <xdr:row>38</xdr:row>
      <xdr:rowOff>171453</xdr:rowOff>
    </xdr:from>
    <xdr:to>
      <xdr:col>13</xdr:col>
      <xdr:colOff>731520</xdr:colOff>
      <xdr:row>50</xdr:row>
      <xdr:rowOff>173354</xdr:rowOff>
    </xdr:to>
    <xdr:sp macro="" textlink="">
      <xdr:nvSpPr>
        <xdr:cNvPr id="104" name="Trapezoid 103">
          <a:extLst>
            <a:ext uri="{FF2B5EF4-FFF2-40B4-BE49-F238E27FC236}">
              <a16:creationId xmlns:a16="http://schemas.microsoft.com/office/drawing/2014/main" id="{1DDB43EF-0A00-469E-A986-D9B708051573}"/>
            </a:ext>
          </a:extLst>
        </xdr:cNvPr>
        <xdr:cNvSpPr/>
      </xdr:nvSpPr>
      <xdr:spPr>
        <a:xfrm rot="5400000">
          <a:off x="6498909" y="7921944"/>
          <a:ext cx="2105021" cy="304800"/>
        </a:xfrm>
        <a:prstGeom prst="trapezoid">
          <a:avLst>
            <a:gd name="adj" fmla="val 75000"/>
          </a:avLst>
        </a:prstGeom>
        <a:solidFill>
          <a:srgbClr val="C0C0C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174521</xdr:colOff>
      <xdr:row>40</xdr:row>
      <xdr:rowOff>3240</xdr:rowOff>
    </xdr:from>
    <xdr:to>
      <xdr:col>13</xdr:col>
      <xdr:colOff>417195</xdr:colOff>
      <xdr:row>40</xdr:row>
      <xdr:rowOff>3810</xdr:rowOff>
    </xdr:to>
    <xdr:cxnSp macro="">
      <xdr:nvCxnSpPr>
        <xdr:cNvPr id="105" name="Straight Arrow Connector 104">
          <a:extLst>
            <a:ext uri="{FF2B5EF4-FFF2-40B4-BE49-F238E27FC236}">
              <a16:creationId xmlns:a16="http://schemas.microsoft.com/office/drawing/2014/main" id="{7BEB4CC9-A729-4ECE-AF4D-BECE9C5CDF87}"/>
            </a:ext>
          </a:extLst>
        </xdr:cNvPr>
        <xdr:cNvCxnSpPr>
          <a:stCxn id="106" idx="3"/>
        </xdr:cNvCxnSpPr>
      </xdr:nvCxnSpPr>
      <xdr:spPr>
        <a:xfrm>
          <a:off x="6636281" y="7204140"/>
          <a:ext cx="753214" cy="57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628650</xdr:colOff>
      <xdr:row>39</xdr:row>
      <xdr:rowOff>43815</xdr:rowOff>
    </xdr:from>
    <xdr:ext cx="757451" cy="26936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88847C1A-6742-443C-9AB9-796E8AA43500}"/>
            </a:ext>
          </a:extLst>
        </xdr:cNvPr>
        <xdr:cNvSpPr txBox="1"/>
      </xdr:nvSpPr>
      <xdr:spPr>
        <a:xfrm>
          <a:off x="5878830" y="7069455"/>
          <a:ext cx="75745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FRCDIV</a:t>
          </a:r>
        </a:p>
      </xdr:txBody>
    </xdr:sp>
    <xdr:clientData/>
  </xdr:oneCellAnchor>
  <xdr:twoCellAnchor>
    <xdr:from>
      <xdr:col>12</xdr:col>
      <xdr:colOff>84786</xdr:colOff>
      <xdr:row>42</xdr:row>
      <xdr:rowOff>1335</xdr:rowOff>
    </xdr:from>
    <xdr:to>
      <xdr:col>13</xdr:col>
      <xdr:colOff>415290</xdr:colOff>
      <xdr:row>42</xdr:row>
      <xdr:rowOff>1905</xdr:rowOff>
    </xdr:to>
    <xdr:cxnSp macro="">
      <xdr:nvCxnSpPr>
        <xdr:cNvPr id="107" name="Straight Arrow Connector 106">
          <a:extLst>
            <a:ext uri="{FF2B5EF4-FFF2-40B4-BE49-F238E27FC236}">
              <a16:creationId xmlns:a16="http://schemas.microsoft.com/office/drawing/2014/main" id="{8CD9A6A5-DFD0-47A2-ABF1-20C6D6AD4D07}"/>
            </a:ext>
          </a:extLst>
        </xdr:cNvPr>
        <xdr:cNvCxnSpPr>
          <a:stCxn id="108" idx="3"/>
        </xdr:cNvCxnSpPr>
      </xdr:nvCxnSpPr>
      <xdr:spPr>
        <a:xfrm>
          <a:off x="6546546" y="7552755"/>
          <a:ext cx="841044" cy="57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718386</xdr:colOff>
      <xdr:row>41</xdr:row>
      <xdr:rowOff>41910</xdr:rowOff>
    </xdr:from>
    <xdr:ext cx="577980" cy="26936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B45C3F1B-EEC7-4707-A4D4-E0802DE8075D}"/>
            </a:ext>
          </a:extLst>
        </xdr:cNvPr>
        <xdr:cNvSpPr txBox="1"/>
      </xdr:nvSpPr>
      <xdr:spPr>
        <a:xfrm>
          <a:off x="5968566" y="7418070"/>
          <a:ext cx="57798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SPLL</a:t>
          </a:r>
        </a:p>
      </xdr:txBody>
    </xdr:sp>
    <xdr:clientData/>
  </xdr:oneCellAnchor>
  <xdr:twoCellAnchor>
    <xdr:from>
      <xdr:col>12</xdr:col>
      <xdr:colOff>106202</xdr:colOff>
      <xdr:row>44</xdr:row>
      <xdr:rowOff>1335</xdr:rowOff>
    </xdr:from>
    <xdr:to>
      <xdr:col>13</xdr:col>
      <xdr:colOff>417195</xdr:colOff>
      <xdr:row>44</xdr:row>
      <xdr:rowOff>3810</xdr:rowOff>
    </xdr:to>
    <xdr:cxnSp macro="">
      <xdr:nvCxnSpPr>
        <xdr:cNvPr id="109" name="Straight Arrow Connector 108">
          <a:extLst>
            <a:ext uri="{FF2B5EF4-FFF2-40B4-BE49-F238E27FC236}">
              <a16:creationId xmlns:a16="http://schemas.microsoft.com/office/drawing/2014/main" id="{CF3B206E-BBA4-412B-B9AC-98B72BBEEC61}"/>
            </a:ext>
          </a:extLst>
        </xdr:cNvPr>
        <xdr:cNvCxnSpPr>
          <a:stCxn id="110" idx="3"/>
        </xdr:cNvCxnSpPr>
      </xdr:nvCxnSpPr>
      <xdr:spPr>
        <a:xfrm>
          <a:off x="6567962" y="7903275"/>
          <a:ext cx="821533" cy="247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696971</xdr:colOff>
      <xdr:row>43</xdr:row>
      <xdr:rowOff>41910</xdr:rowOff>
    </xdr:from>
    <xdr:ext cx="620811" cy="269369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D41C8E3-6D0C-43C2-98C2-A3D32A0D51F2}"/>
            </a:ext>
          </a:extLst>
        </xdr:cNvPr>
        <xdr:cNvSpPr txBox="1"/>
      </xdr:nvSpPr>
      <xdr:spPr>
        <a:xfrm>
          <a:off x="5947151" y="7768590"/>
          <a:ext cx="62081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POSC</a:t>
          </a:r>
        </a:p>
      </xdr:txBody>
    </xdr:sp>
    <xdr:clientData/>
  </xdr:oneCellAnchor>
  <xdr:twoCellAnchor>
    <xdr:from>
      <xdr:col>12</xdr:col>
      <xdr:colOff>101810</xdr:colOff>
      <xdr:row>45</xdr:row>
      <xdr:rowOff>174690</xdr:rowOff>
    </xdr:from>
    <xdr:to>
      <xdr:col>13</xdr:col>
      <xdr:colOff>417195</xdr:colOff>
      <xdr:row>46</xdr:row>
      <xdr:rowOff>1905</xdr:rowOff>
    </xdr:to>
    <xdr:cxnSp macro="">
      <xdr:nvCxnSpPr>
        <xdr:cNvPr id="111" name="Straight Arrow Connector 110">
          <a:extLst>
            <a:ext uri="{FF2B5EF4-FFF2-40B4-BE49-F238E27FC236}">
              <a16:creationId xmlns:a16="http://schemas.microsoft.com/office/drawing/2014/main" id="{9FF43149-39BC-4EC1-ABEF-93B456F0C537}"/>
            </a:ext>
          </a:extLst>
        </xdr:cNvPr>
        <xdr:cNvCxnSpPr>
          <a:stCxn id="112" idx="3"/>
        </xdr:cNvCxnSpPr>
      </xdr:nvCxnSpPr>
      <xdr:spPr>
        <a:xfrm>
          <a:off x="6563570" y="8251890"/>
          <a:ext cx="825925" cy="247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701363</xdr:colOff>
      <xdr:row>45</xdr:row>
      <xdr:rowOff>40005</xdr:rowOff>
    </xdr:from>
    <xdr:ext cx="612027" cy="269369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4E19AFB2-D6D3-4F42-B697-44898D3A4DF4}"/>
            </a:ext>
          </a:extLst>
        </xdr:cNvPr>
        <xdr:cNvSpPr txBox="1"/>
      </xdr:nvSpPr>
      <xdr:spPr>
        <a:xfrm>
          <a:off x="5951543" y="8117205"/>
          <a:ext cx="61202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BFRC</a:t>
          </a:r>
        </a:p>
      </xdr:txBody>
    </xdr:sp>
    <xdr:clientData/>
  </xdr:oneCellAnchor>
  <xdr:twoCellAnchor>
    <xdr:from>
      <xdr:col>12</xdr:col>
      <xdr:colOff>97578</xdr:colOff>
      <xdr:row>48</xdr:row>
      <xdr:rowOff>1335</xdr:rowOff>
    </xdr:from>
    <xdr:to>
      <xdr:col>13</xdr:col>
      <xdr:colOff>413385</xdr:colOff>
      <xdr:row>48</xdr:row>
      <xdr:rowOff>5715</xdr:rowOff>
    </xdr:to>
    <xdr:cxnSp macro="">
      <xdr:nvCxnSpPr>
        <xdr:cNvPr id="113" name="Straight Arrow Connector 112">
          <a:extLst>
            <a:ext uri="{FF2B5EF4-FFF2-40B4-BE49-F238E27FC236}">
              <a16:creationId xmlns:a16="http://schemas.microsoft.com/office/drawing/2014/main" id="{8378BECA-683B-4EE1-BD92-981E4D735BCF}"/>
            </a:ext>
          </a:extLst>
        </xdr:cNvPr>
        <xdr:cNvCxnSpPr>
          <a:stCxn id="114" idx="3"/>
        </xdr:cNvCxnSpPr>
      </xdr:nvCxnSpPr>
      <xdr:spPr>
        <a:xfrm>
          <a:off x="6559338" y="8604315"/>
          <a:ext cx="826347" cy="438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705595</xdr:colOff>
      <xdr:row>47</xdr:row>
      <xdr:rowOff>41910</xdr:rowOff>
    </xdr:from>
    <xdr:ext cx="603563" cy="269369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2339202-0A90-4029-A139-DACBB358D9E0}"/>
            </a:ext>
          </a:extLst>
        </xdr:cNvPr>
        <xdr:cNvSpPr txBox="1"/>
      </xdr:nvSpPr>
      <xdr:spPr>
        <a:xfrm>
          <a:off x="5955775" y="8469630"/>
          <a:ext cx="60356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LPRC</a:t>
          </a:r>
        </a:p>
      </xdr:txBody>
    </xdr:sp>
    <xdr:clientData/>
  </xdr:oneCellAnchor>
  <xdr:twoCellAnchor>
    <xdr:from>
      <xdr:col>12</xdr:col>
      <xdr:colOff>106202</xdr:colOff>
      <xdr:row>49</xdr:row>
      <xdr:rowOff>174690</xdr:rowOff>
    </xdr:from>
    <xdr:to>
      <xdr:col>13</xdr:col>
      <xdr:colOff>413385</xdr:colOff>
      <xdr:row>50</xdr:row>
      <xdr:rowOff>3810</xdr:rowOff>
    </xdr:to>
    <xdr:cxnSp macro="">
      <xdr:nvCxnSpPr>
        <xdr:cNvPr id="115" name="Straight Arrow Connector 114">
          <a:extLst>
            <a:ext uri="{FF2B5EF4-FFF2-40B4-BE49-F238E27FC236}">
              <a16:creationId xmlns:a16="http://schemas.microsoft.com/office/drawing/2014/main" id="{294CF58B-8A5B-43CB-BC1A-233C80CDE741}"/>
            </a:ext>
          </a:extLst>
        </xdr:cNvPr>
        <xdr:cNvCxnSpPr>
          <a:stCxn id="116" idx="3"/>
        </xdr:cNvCxnSpPr>
      </xdr:nvCxnSpPr>
      <xdr:spPr>
        <a:xfrm>
          <a:off x="6567962" y="8952930"/>
          <a:ext cx="817723" cy="438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696971</xdr:colOff>
      <xdr:row>49</xdr:row>
      <xdr:rowOff>40005</xdr:rowOff>
    </xdr:from>
    <xdr:ext cx="620811" cy="269369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2600BFFD-FCAD-4FC6-8793-AD21FDFB30C8}"/>
            </a:ext>
          </a:extLst>
        </xdr:cNvPr>
        <xdr:cNvSpPr txBox="1"/>
      </xdr:nvSpPr>
      <xdr:spPr>
        <a:xfrm>
          <a:off x="5947151" y="8818245"/>
          <a:ext cx="62081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SOSC</a:t>
          </a:r>
        </a:p>
      </xdr:txBody>
    </xdr:sp>
    <xdr:clientData/>
  </xdr:oneCellAnchor>
  <xdr:twoCellAnchor>
    <xdr:from>
      <xdr:col>13</xdr:col>
      <xdr:colOff>737235</xdr:colOff>
      <xdr:row>48</xdr:row>
      <xdr:rowOff>95250</xdr:rowOff>
    </xdr:from>
    <xdr:to>
      <xdr:col>15</xdr:col>
      <xdr:colOff>380396</xdr:colOff>
      <xdr:row>48</xdr:row>
      <xdr:rowOff>96585</xdr:rowOff>
    </xdr:to>
    <xdr:cxnSp macro="">
      <xdr:nvCxnSpPr>
        <xdr:cNvPr id="117" name="Straight Arrow Connector 116">
          <a:extLst>
            <a:ext uri="{FF2B5EF4-FFF2-40B4-BE49-F238E27FC236}">
              <a16:creationId xmlns:a16="http://schemas.microsoft.com/office/drawing/2014/main" id="{1E6FCFA8-69D0-4BBF-B803-56493DAC645B}"/>
            </a:ext>
          </a:extLst>
        </xdr:cNvPr>
        <xdr:cNvCxnSpPr>
          <a:endCxn id="118" idx="1"/>
        </xdr:cNvCxnSpPr>
      </xdr:nvCxnSpPr>
      <xdr:spPr>
        <a:xfrm>
          <a:off x="7709535" y="8698230"/>
          <a:ext cx="1045241" cy="133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380396</xdr:colOff>
      <xdr:row>47</xdr:row>
      <xdr:rowOff>137160</xdr:rowOff>
    </xdr:from>
    <xdr:ext cx="941541" cy="269369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2A18723-7BDC-4D0F-AC9E-1FCC8D257B29}"/>
            </a:ext>
          </a:extLst>
        </xdr:cNvPr>
        <xdr:cNvSpPr txBox="1"/>
      </xdr:nvSpPr>
      <xdr:spPr>
        <a:xfrm>
          <a:off x="8754776" y="8564880"/>
          <a:ext cx="94154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SYSCLK =</a:t>
          </a:r>
        </a:p>
      </xdr:txBody>
    </xdr:sp>
    <xdr:clientData/>
  </xdr:oneCellAnchor>
  <xdr:twoCellAnchor>
    <xdr:from>
      <xdr:col>13</xdr:col>
      <xdr:colOff>586740</xdr:colOff>
      <xdr:row>50</xdr:row>
      <xdr:rowOff>68580</xdr:rowOff>
    </xdr:from>
    <xdr:to>
      <xdr:col>13</xdr:col>
      <xdr:colOff>586740</xdr:colOff>
      <xdr:row>52</xdr:row>
      <xdr:rowOff>144780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id="{8B4B35B4-1648-45CA-B135-1328F8485087}"/>
            </a:ext>
          </a:extLst>
        </xdr:cNvPr>
        <xdr:cNvCxnSpPr/>
      </xdr:nvCxnSpPr>
      <xdr:spPr>
        <a:xfrm flipV="1">
          <a:off x="7559040" y="9022080"/>
          <a:ext cx="0" cy="42672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289560</xdr:colOff>
      <xdr:row>27</xdr:row>
      <xdr:rowOff>7620</xdr:rowOff>
    </xdr:from>
    <xdr:to>
      <xdr:col>18</xdr:col>
      <xdr:colOff>289560</xdr:colOff>
      <xdr:row>28</xdr:row>
      <xdr:rowOff>53340</xdr:rowOff>
    </xdr:to>
    <xdr:sp macro="" textlink="">
      <xdr:nvSpPr>
        <xdr:cNvPr id="120" name="Rounded Rectangle 328">
          <a:extLst>
            <a:ext uri="{FF2B5EF4-FFF2-40B4-BE49-F238E27FC236}">
              <a16:creationId xmlns:a16="http://schemas.microsoft.com/office/drawing/2014/main" id="{73865C14-F195-44A6-9FB0-626D3721C6F9}"/>
            </a:ext>
          </a:extLst>
        </xdr:cNvPr>
        <xdr:cNvSpPr/>
      </xdr:nvSpPr>
      <xdr:spPr>
        <a:xfrm>
          <a:off x="9799320" y="4930140"/>
          <a:ext cx="556260" cy="22098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Divider</a:t>
          </a:r>
        </a:p>
      </xdr:txBody>
    </xdr:sp>
    <xdr:clientData/>
  </xdr:twoCellAnchor>
  <xdr:oneCellAnchor>
    <xdr:from>
      <xdr:col>19</xdr:col>
      <xdr:colOff>163712</xdr:colOff>
      <xdr:row>26</xdr:row>
      <xdr:rowOff>160020</xdr:rowOff>
    </xdr:from>
    <xdr:ext cx="932949" cy="269369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54828AA1-7CCA-41F6-A09C-BFDEF2996473}"/>
            </a:ext>
          </a:extLst>
        </xdr:cNvPr>
        <xdr:cNvSpPr txBox="1"/>
      </xdr:nvSpPr>
      <xdr:spPr>
        <a:xfrm>
          <a:off x="10625972" y="4907280"/>
          <a:ext cx="932949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PBCLK1 =</a:t>
          </a:r>
        </a:p>
      </xdr:txBody>
    </xdr:sp>
    <xdr:clientData/>
  </xdr:oneCellAnchor>
  <xdr:twoCellAnchor>
    <xdr:from>
      <xdr:col>18</xdr:col>
      <xdr:colOff>289560</xdr:colOff>
      <xdr:row>27</xdr:row>
      <xdr:rowOff>118110</xdr:rowOff>
    </xdr:from>
    <xdr:to>
      <xdr:col>19</xdr:col>
      <xdr:colOff>163712</xdr:colOff>
      <xdr:row>27</xdr:row>
      <xdr:rowOff>119445</xdr:rowOff>
    </xdr:to>
    <xdr:cxnSp macro="">
      <xdr:nvCxnSpPr>
        <xdr:cNvPr id="122" name="Straight Arrow Connector 121">
          <a:extLst>
            <a:ext uri="{FF2B5EF4-FFF2-40B4-BE49-F238E27FC236}">
              <a16:creationId xmlns:a16="http://schemas.microsoft.com/office/drawing/2014/main" id="{6FB62C0E-380D-417D-9151-512DACE55999}"/>
            </a:ext>
          </a:extLst>
        </xdr:cNvPr>
        <xdr:cNvCxnSpPr>
          <a:stCxn id="120" idx="3"/>
          <a:endCxn id="121" idx="1"/>
        </xdr:cNvCxnSpPr>
      </xdr:nvCxnSpPr>
      <xdr:spPr>
        <a:xfrm>
          <a:off x="10355580" y="5040630"/>
          <a:ext cx="270392" cy="133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148590</xdr:colOff>
      <xdr:row>27</xdr:row>
      <xdr:rowOff>118110</xdr:rowOff>
    </xdr:from>
    <xdr:to>
      <xdr:col>17</xdr:col>
      <xdr:colOff>289560</xdr:colOff>
      <xdr:row>27</xdr:row>
      <xdr:rowOff>121920</xdr:rowOff>
    </xdr:to>
    <xdr:cxnSp macro="">
      <xdr:nvCxnSpPr>
        <xdr:cNvPr id="123" name="Straight Arrow Connector 122">
          <a:extLst>
            <a:ext uri="{FF2B5EF4-FFF2-40B4-BE49-F238E27FC236}">
              <a16:creationId xmlns:a16="http://schemas.microsoft.com/office/drawing/2014/main" id="{67506C17-6954-486D-8B06-BD91F4F71AD5}"/>
            </a:ext>
          </a:extLst>
        </xdr:cNvPr>
        <xdr:cNvCxnSpPr>
          <a:endCxn id="120" idx="1"/>
        </xdr:cNvCxnSpPr>
      </xdr:nvCxnSpPr>
      <xdr:spPr>
        <a:xfrm flipV="1">
          <a:off x="8522970" y="5040630"/>
          <a:ext cx="1276350" cy="381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289560</xdr:colOff>
      <xdr:row>30</xdr:row>
      <xdr:rowOff>3810</xdr:rowOff>
    </xdr:from>
    <xdr:to>
      <xdr:col>18</xdr:col>
      <xdr:colOff>289560</xdr:colOff>
      <xdr:row>31</xdr:row>
      <xdr:rowOff>49530</xdr:rowOff>
    </xdr:to>
    <xdr:sp macro="" textlink="">
      <xdr:nvSpPr>
        <xdr:cNvPr id="124" name="Rounded Rectangle 340">
          <a:extLst>
            <a:ext uri="{FF2B5EF4-FFF2-40B4-BE49-F238E27FC236}">
              <a16:creationId xmlns:a16="http://schemas.microsoft.com/office/drawing/2014/main" id="{147359D0-0289-4AA0-8211-F9E82BCDC130}"/>
            </a:ext>
          </a:extLst>
        </xdr:cNvPr>
        <xdr:cNvSpPr/>
      </xdr:nvSpPr>
      <xdr:spPr>
        <a:xfrm>
          <a:off x="9799320" y="5452110"/>
          <a:ext cx="556260" cy="22098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Divider</a:t>
          </a:r>
        </a:p>
      </xdr:txBody>
    </xdr:sp>
    <xdr:clientData/>
  </xdr:twoCellAnchor>
  <xdr:oneCellAnchor>
    <xdr:from>
      <xdr:col>19</xdr:col>
      <xdr:colOff>163713</xdr:colOff>
      <xdr:row>29</xdr:row>
      <xdr:rowOff>156210</xdr:rowOff>
    </xdr:from>
    <xdr:ext cx="932949" cy="269369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ED8FEAFE-4FAE-483D-8907-E177A7995A1E}"/>
            </a:ext>
          </a:extLst>
        </xdr:cNvPr>
        <xdr:cNvSpPr txBox="1"/>
      </xdr:nvSpPr>
      <xdr:spPr>
        <a:xfrm>
          <a:off x="10625973" y="5429250"/>
          <a:ext cx="932949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PBCLK2 =</a:t>
          </a:r>
        </a:p>
      </xdr:txBody>
    </xdr:sp>
    <xdr:clientData/>
  </xdr:oneCellAnchor>
  <xdr:twoCellAnchor>
    <xdr:from>
      <xdr:col>18</xdr:col>
      <xdr:colOff>289560</xdr:colOff>
      <xdr:row>30</xdr:row>
      <xdr:rowOff>114300</xdr:rowOff>
    </xdr:from>
    <xdr:to>
      <xdr:col>19</xdr:col>
      <xdr:colOff>163713</xdr:colOff>
      <xdr:row>30</xdr:row>
      <xdr:rowOff>115635</xdr:rowOff>
    </xdr:to>
    <xdr:cxnSp macro="">
      <xdr:nvCxnSpPr>
        <xdr:cNvPr id="126" name="Straight Arrow Connector 125">
          <a:extLst>
            <a:ext uri="{FF2B5EF4-FFF2-40B4-BE49-F238E27FC236}">
              <a16:creationId xmlns:a16="http://schemas.microsoft.com/office/drawing/2014/main" id="{E6872893-CA9E-4C7E-8516-B6418CCDE89A}"/>
            </a:ext>
          </a:extLst>
        </xdr:cNvPr>
        <xdr:cNvCxnSpPr>
          <a:stCxn id="124" idx="3"/>
          <a:endCxn id="125" idx="1"/>
        </xdr:cNvCxnSpPr>
      </xdr:nvCxnSpPr>
      <xdr:spPr>
        <a:xfrm>
          <a:off x="10355580" y="5562600"/>
          <a:ext cx="270393" cy="133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154305</xdr:colOff>
      <xdr:row>30</xdr:row>
      <xdr:rowOff>114300</xdr:rowOff>
    </xdr:from>
    <xdr:to>
      <xdr:col>17</xdr:col>
      <xdr:colOff>289560</xdr:colOff>
      <xdr:row>30</xdr:row>
      <xdr:rowOff>118110</xdr:rowOff>
    </xdr:to>
    <xdr:cxnSp macro="">
      <xdr:nvCxnSpPr>
        <xdr:cNvPr id="127" name="Straight Arrow Connector 126">
          <a:extLst>
            <a:ext uri="{FF2B5EF4-FFF2-40B4-BE49-F238E27FC236}">
              <a16:creationId xmlns:a16="http://schemas.microsoft.com/office/drawing/2014/main" id="{6740764B-D0A9-4EB0-99C2-FD31DA4DA789}"/>
            </a:ext>
          </a:extLst>
        </xdr:cNvPr>
        <xdr:cNvCxnSpPr>
          <a:endCxn id="124" idx="1"/>
        </xdr:cNvCxnSpPr>
      </xdr:nvCxnSpPr>
      <xdr:spPr>
        <a:xfrm flipV="1">
          <a:off x="8528685" y="5562600"/>
          <a:ext cx="1270635" cy="381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289560</xdr:colOff>
      <xdr:row>33</xdr:row>
      <xdr:rowOff>0</xdr:rowOff>
    </xdr:from>
    <xdr:to>
      <xdr:col>18</xdr:col>
      <xdr:colOff>289560</xdr:colOff>
      <xdr:row>34</xdr:row>
      <xdr:rowOff>45720</xdr:rowOff>
    </xdr:to>
    <xdr:sp macro="" textlink="">
      <xdr:nvSpPr>
        <xdr:cNvPr id="128" name="Rounded Rectangle 345">
          <a:extLst>
            <a:ext uri="{FF2B5EF4-FFF2-40B4-BE49-F238E27FC236}">
              <a16:creationId xmlns:a16="http://schemas.microsoft.com/office/drawing/2014/main" id="{8B263ED5-F1C9-4F4C-9D4C-81BD606BBF8F}"/>
            </a:ext>
          </a:extLst>
        </xdr:cNvPr>
        <xdr:cNvSpPr/>
      </xdr:nvSpPr>
      <xdr:spPr>
        <a:xfrm>
          <a:off x="9799320" y="5974080"/>
          <a:ext cx="556260" cy="22098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Divider</a:t>
          </a:r>
        </a:p>
      </xdr:txBody>
    </xdr:sp>
    <xdr:clientData/>
  </xdr:twoCellAnchor>
  <xdr:oneCellAnchor>
    <xdr:from>
      <xdr:col>19</xdr:col>
      <xdr:colOff>163713</xdr:colOff>
      <xdr:row>32</xdr:row>
      <xdr:rowOff>152400</xdr:rowOff>
    </xdr:from>
    <xdr:ext cx="932949" cy="269369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C6B70B77-71B4-423F-837B-B951F424E04B}"/>
            </a:ext>
          </a:extLst>
        </xdr:cNvPr>
        <xdr:cNvSpPr txBox="1"/>
      </xdr:nvSpPr>
      <xdr:spPr>
        <a:xfrm>
          <a:off x="10625973" y="5951220"/>
          <a:ext cx="932949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PBCLK3 =</a:t>
          </a:r>
        </a:p>
      </xdr:txBody>
    </xdr:sp>
    <xdr:clientData/>
  </xdr:oneCellAnchor>
  <xdr:twoCellAnchor>
    <xdr:from>
      <xdr:col>18</xdr:col>
      <xdr:colOff>289560</xdr:colOff>
      <xdr:row>33</xdr:row>
      <xdr:rowOff>110490</xdr:rowOff>
    </xdr:from>
    <xdr:to>
      <xdr:col>19</xdr:col>
      <xdr:colOff>163713</xdr:colOff>
      <xdr:row>33</xdr:row>
      <xdr:rowOff>111825</xdr:rowOff>
    </xdr:to>
    <xdr:cxnSp macro="">
      <xdr:nvCxnSpPr>
        <xdr:cNvPr id="130" name="Straight Arrow Connector 129">
          <a:extLst>
            <a:ext uri="{FF2B5EF4-FFF2-40B4-BE49-F238E27FC236}">
              <a16:creationId xmlns:a16="http://schemas.microsoft.com/office/drawing/2014/main" id="{DE466E2E-27BA-4A45-9113-8CC6336D2C62}"/>
            </a:ext>
          </a:extLst>
        </xdr:cNvPr>
        <xdr:cNvCxnSpPr>
          <a:stCxn id="128" idx="3"/>
          <a:endCxn id="129" idx="1"/>
        </xdr:cNvCxnSpPr>
      </xdr:nvCxnSpPr>
      <xdr:spPr>
        <a:xfrm>
          <a:off x="10355580" y="6084570"/>
          <a:ext cx="270393" cy="133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152400</xdr:colOff>
      <xdr:row>33</xdr:row>
      <xdr:rowOff>110490</xdr:rowOff>
    </xdr:from>
    <xdr:to>
      <xdr:col>17</xdr:col>
      <xdr:colOff>289560</xdr:colOff>
      <xdr:row>33</xdr:row>
      <xdr:rowOff>112395</xdr:rowOff>
    </xdr:to>
    <xdr:cxnSp macro="">
      <xdr:nvCxnSpPr>
        <xdr:cNvPr id="131" name="Straight Arrow Connector 130">
          <a:extLst>
            <a:ext uri="{FF2B5EF4-FFF2-40B4-BE49-F238E27FC236}">
              <a16:creationId xmlns:a16="http://schemas.microsoft.com/office/drawing/2014/main" id="{0B9D330E-415A-44B8-A27E-BB9DB05BBCDC}"/>
            </a:ext>
          </a:extLst>
        </xdr:cNvPr>
        <xdr:cNvCxnSpPr>
          <a:endCxn id="128" idx="1"/>
        </xdr:cNvCxnSpPr>
      </xdr:nvCxnSpPr>
      <xdr:spPr>
        <a:xfrm flipV="1">
          <a:off x="8526780" y="6084570"/>
          <a:ext cx="1272540" cy="190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289560</xdr:colOff>
      <xdr:row>36</xdr:row>
      <xdr:rowOff>0</xdr:rowOff>
    </xdr:from>
    <xdr:to>
      <xdr:col>18</xdr:col>
      <xdr:colOff>289560</xdr:colOff>
      <xdr:row>37</xdr:row>
      <xdr:rowOff>45720</xdr:rowOff>
    </xdr:to>
    <xdr:sp macro="" textlink="">
      <xdr:nvSpPr>
        <xdr:cNvPr id="132" name="Rounded Rectangle 350">
          <a:extLst>
            <a:ext uri="{FF2B5EF4-FFF2-40B4-BE49-F238E27FC236}">
              <a16:creationId xmlns:a16="http://schemas.microsoft.com/office/drawing/2014/main" id="{23094552-15B7-41DC-9455-8F51019F223B}"/>
            </a:ext>
          </a:extLst>
        </xdr:cNvPr>
        <xdr:cNvSpPr/>
      </xdr:nvSpPr>
      <xdr:spPr>
        <a:xfrm>
          <a:off x="9799320" y="6499860"/>
          <a:ext cx="556260" cy="22098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Divider</a:t>
          </a:r>
        </a:p>
      </xdr:txBody>
    </xdr:sp>
    <xdr:clientData/>
  </xdr:twoCellAnchor>
  <xdr:oneCellAnchor>
    <xdr:from>
      <xdr:col>19</xdr:col>
      <xdr:colOff>163713</xdr:colOff>
      <xdr:row>35</xdr:row>
      <xdr:rowOff>152400</xdr:rowOff>
    </xdr:from>
    <xdr:ext cx="932949" cy="269369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6A49A5F3-AE41-4A20-AE73-47B10914E94C}"/>
            </a:ext>
          </a:extLst>
        </xdr:cNvPr>
        <xdr:cNvSpPr txBox="1"/>
      </xdr:nvSpPr>
      <xdr:spPr>
        <a:xfrm>
          <a:off x="10625973" y="6477000"/>
          <a:ext cx="932949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PBCLK4 =</a:t>
          </a:r>
        </a:p>
      </xdr:txBody>
    </xdr:sp>
    <xdr:clientData/>
  </xdr:oneCellAnchor>
  <xdr:twoCellAnchor>
    <xdr:from>
      <xdr:col>18</xdr:col>
      <xdr:colOff>289560</xdr:colOff>
      <xdr:row>36</xdr:row>
      <xdr:rowOff>110490</xdr:rowOff>
    </xdr:from>
    <xdr:to>
      <xdr:col>19</xdr:col>
      <xdr:colOff>163713</xdr:colOff>
      <xdr:row>36</xdr:row>
      <xdr:rowOff>111825</xdr:rowOff>
    </xdr:to>
    <xdr:cxnSp macro="">
      <xdr:nvCxnSpPr>
        <xdr:cNvPr id="134" name="Straight Arrow Connector 133">
          <a:extLst>
            <a:ext uri="{FF2B5EF4-FFF2-40B4-BE49-F238E27FC236}">
              <a16:creationId xmlns:a16="http://schemas.microsoft.com/office/drawing/2014/main" id="{7635959A-6C74-4515-AB42-C6C3035E512F}"/>
            </a:ext>
          </a:extLst>
        </xdr:cNvPr>
        <xdr:cNvCxnSpPr>
          <a:stCxn id="132" idx="3"/>
          <a:endCxn id="133" idx="1"/>
        </xdr:cNvCxnSpPr>
      </xdr:nvCxnSpPr>
      <xdr:spPr>
        <a:xfrm>
          <a:off x="10355580" y="6610350"/>
          <a:ext cx="270393" cy="133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152400</xdr:colOff>
      <xdr:row>36</xdr:row>
      <xdr:rowOff>110490</xdr:rowOff>
    </xdr:from>
    <xdr:to>
      <xdr:col>17</xdr:col>
      <xdr:colOff>289560</xdr:colOff>
      <xdr:row>36</xdr:row>
      <xdr:rowOff>112395</xdr:rowOff>
    </xdr:to>
    <xdr:cxnSp macro="">
      <xdr:nvCxnSpPr>
        <xdr:cNvPr id="135" name="Straight Arrow Connector 134">
          <a:extLst>
            <a:ext uri="{FF2B5EF4-FFF2-40B4-BE49-F238E27FC236}">
              <a16:creationId xmlns:a16="http://schemas.microsoft.com/office/drawing/2014/main" id="{98D0BC88-44C9-4EBD-88D3-D1950A97447A}"/>
            </a:ext>
          </a:extLst>
        </xdr:cNvPr>
        <xdr:cNvCxnSpPr>
          <a:endCxn id="132" idx="1"/>
        </xdr:cNvCxnSpPr>
      </xdr:nvCxnSpPr>
      <xdr:spPr>
        <a:xfrm flipV="1">
          <a:off x="8526780" y="6610350"/>
          <a:ext cx="1272540" cy="190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289560</xdr:colOff>
      <xdr:row>39</xdr:row>
      <xdr:rowOff>1905</xdr:rowOff>
    </xdr:from>
    <xdr:to>
      <xdr:col>18</xdr:col>
      <xdr:colOff>289560</xdr:colOff>
      <xdr:row>40</xdr:row>
      <xdr:rowOff>47625</xdr:rowOff>
    </xdr:to>
    <xdr:sp macro="" textlink="">
      <xdr:nvSpPr>
        <xdr:cNvPr id="136" name="Rounded Rectangle 355">
          <a:extLst>
            <a:ext uri="{FF2B5EF4-FFF2-40B4-BE49-F238E27FC236}">
              <a16:creationId xmlns:a16="http://schemas.microsoft.com/office/drawing/2014/main" id="{503B7899-4A99-426B-8DB6-01EFC8457787}"/>
            </a:ext>
          </a:extLst>
        </xdr:cNvPr>
        <xdr:cNvSpPr/>
      </xdr:nvSpPr>
      <xdr:spPr>
        <a:xfrm>
          <a:off x="9799320" y="7027545"/>
          <a:ext cx="556260" cy="22098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Divider</a:t>
          </a:r>
        </a:p>
      </xdr:txBody>
    </xdr:sp>
    <xdr:clientData/>
  </xdr:twoCellAnchor>
  <xdr:oneCellAnchor>
    <xdr:from>
      <xdr:col>19</xdr:col>
      <xdr:colOff>163713</xdr:colOff>
      <xdr:row>38</xdr:row>
      <xdr:rowOff>154305</xdr:rowOff>
    </xdr:from>
    <xdr:ext cx="932949" cy="269369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8E59E3B-922B-4815-92BD-ED4220667113}"/>
            </a:ext>
          </a:extLst>
        </xdr:cNvPr>
        <xdr:cNvSpPr txBox="1"/>
      </xdr:nvSpPr>
      <xdr:spPr>
        <a:xfrm>
          <a:off x="10625973" y="7004685"/>
          <a:ext cx="932949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PBCLK5 =</a:t>
          </a:r>
        </a:p>
      </xdr:txBody>
    </xdr:sp>
    <xdr:clientData/>
  </xdr:oneCellAnchor>
  <xdr:twoCellAnchor>
    <xdr:from>
      <xdr:col>18</xdr:col>
      <xdr:colOff>289560</xdr:colOff>
      <xdr:row>39</xdr:row>
      <xdr:rowOff>112395</xdr:rowOff>
    </xdr:from>
    <xdr:to>
      <xdr:col>19</xdr:col>
      <xdr:colOff>163713</xdr:colOff>
      <xdr:row>39</xdr:row>
      <xdr:rowOff>113730</xdr:rowOff>
    </xdr:to>
    <xdr:cxnSp macro="">
      <xdr:nvCxnSpPr>
        <xdr:cNvPr id="138" name="Straight Arrow Connector 137">
          <a:extLst>
            <a:ext uri="{FF2B5EF4-FFF2-40B4-BE49-F238E27FC236}">
              <a16:creationId xmlns:a16="http://schemas.microsoft.com/office/drawing/2014/main" id="{DDED238B-7521-446F-B5B6-A0218D5E3662}"/>
            </a:ext>
          </a:extLst>
        </xdr:cNvPr>
        <xdr:cNvCxnSpPr>
          <a:stCxn id="136" idx="3"/>
          <a:endCxn id="137" idx="1"/>
        </xdr:cNvCxnSpPr>
      </xdr:nvCxnSpPr>
      <xdr:spPr>
        <a:xfrm>
          <a:off x="10355580" y="7138035"/>
          <a:ext cx="270393" cy="133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154305</xdr:colOff>
      <xdr:row>39</xdr:row>
      <xdr:rowOff>112395</xdr:rowOff>
    </xdr:from>
    <xdr:to>
      <xdr:col>17</xdr:col>
      <xdr:colOff>289560</xdr:colOff>
      <xdr:row>39</xdr:row>
      <xdr:rowOff>120015</xdr:rowOff>
    </xdr:to>
    <xdr:cxnSp macro="">
      <xdr:nvCxnSpPr>
        <xdr:cNvPr id="139" name="Straight Arrow Connector 138">
          <a:extLst>
            <a:ext uri="{FF2B5EF4-FFF2-40B4-BE49-F238E27FC236}">
              <a16:creationId xmlns:a16="http://schemas.microsoft.com/office/drawing/2014/main" id="{4571FADF-F018-47FA-9183-EC66C74C5A0B}"/>
            </a:ext>
          </a:extLst>
        </xdr:cNvPr>
        <xdr:cNvCxnSpPr>
          <a:endCxn id="136" idx="1"/>
        </xdr:cNvCxnSpPr>
      </xdr:nvCxnSpPr>
      <xdr:spPr>
        <a:xfrm flipV="1">
          <a:off x="8528685" y="7138035"/>
          <a:ext cx="1270635" cy="762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289560</xdr:colOff>
      <xdr:row>42</xdr:row>
      <xdr:rowOff>0</xdr:rowOff>
    </xdr:from>
    <xdr:to>
      <xdr:col>18</xdr:col>
      <xdr:colOff>289560</xdr:colOff>
      <xdr:row>43</xdr:row>
      <xdr:rowOff>45720</xdr:rowOff>
    </xdr:to>
    <xdr:sp macro="" textlink="">
      <xdr:nvSpPr>
        <xdr:cNvPr id="140" name="Rounded Rectangle 360">
          <a:extLst>
            <a:ext uri="{FF2B5EF4-FFF2-40B4-BE49-F238E27FC236}">
              <a16:creationId xmlns:a16="http://schemas.microsoft.com/office/drawing/2014/main" id="{4E5589CE-34D3-4991-AC04-409BD36A6907}"/>
            </a:ext>
          </a:extLst>
        </xdr:cNvPr>
        <xdr:cNvSpPr/>
      </xdr:nvSpPr>
      <xdr:spPr>
        <a:xfrm>
          <a:off x="9799320" y="7551420"/>
          <a:ext cx="556260" cy="22098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Divider</a:t>
          </a:r>
        </a:p>
      </xdr:txBody>
    </xdr:sp>
    <xdr:clientData/>
  </xdr:twoCellAnchor>
  <xdr:oneCellAnchor>
    <xdr:from>
      <xdr:col>19</xdr:col>
      <xdr:colOff>163713</xdr:colOff>
      <xdr:row>41</xdr:row>
      <xdr:rowOff>152400</xdr:rowOff>
    </xdr:from>
    <xdr:ext cx="932949" cy="269369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E9CAAE6-6FDB-4289-9630-C9FE068517E3}"/>
            </a:ext>
          </a:extLst>
        </xdr:cNvPr>
        <xdr:cNvSpPr txBox="1"/>
      </xdr:nvSpPr>
      <xdr:spPr>
        <a:xfrm>
          <a:off x="10625973" y="7528560"/>
          <a:ext cx="932949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PBCLK7 =</a:t>
          </a:r>
        </a:p>
      </xdr:txBody>
    </xdr:sp>
    <xdr:clientData/>
  </xdr:oneCellAnchor>
  <xdr:twoCellAnchor>
    <xdr:from>
      <xdr:col>18</xdr:col>
      <xdr:colOff>289560</xdr:colOff>
      <xdr:row>42</xdr:row>
      <xdr:rowOff>110490</xdr:rowOff>
    </xdr:from>
    <xdr:to>
      <xdr:col>19</xdr:col>
      <xdr:colOff>163713</xdr:colOff>
      <xdr:row>42</xdr:row>
      <xdr:rowOff>111825</xdr:rowOff>
    </xdr:to>
    <xdr:cxnSp macro="">
      <xdr:nvCxnSpPr>
        <xdr:cNvPr id="142" name="Straight Arrow Connector 141">
          <a:extLst>
            <a:ext uri="{FF2B5EF4-FFF2-40B4-BE49-F238E27FC236}">
              <a16:creationId xmlns:a16="http://schemas.microsoft.com/office/drawing/2014/main" id="{D4B9BB50-153D-46A9-94B2-E82376C29F17}"/>
            </a:ext>
          </a:extLst>
        </xdr:cNvPr>
        <xdr:cNvCxnSpPr>
          <a:stCxn id="140" idx="3"/>
          <a:endCxn id="141" idx="1"/>
        </xdr:cNvCxnSpPr>
      </xdr:nvCxnSpPr>
      <xdr:spPr>
        <a:xfrm>
          <a:off x="10355580" y="7661910"/>
          <a:ext cx="270393" cy="133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154305</xdr:colOff>
      <xdr:row>42</xdr:row>
      <xdr:rowOff>110490</xdr:rowOff>
    </xdr:from>
    <xdr:to>
      <xdr:col>17</xdr:col>
      <xdr:colOff>289560</xdr:colOff>
      <xdr:row>42</xdr:row>
      <xdr:rowOff>114300</xdr:rowOff>
    </xdr:to>
    <xdr:cxnSp macro="">
      <xdr:nvCxnSpPr>
        <xdr:cNvPr id="143" name="Straight Arrow Connector 142">
          <a:extLst>
            <a:ext uri="{FF2B5EF4-FFF2-40B4-BE49-F238E27FC236}">
              <a16:creationId xmlns:a16="http://schemas.microsoft.com/office/drawing/2014/main" id="{46D4A190-2525-4DD9-811C-5F0A2A1A277E}"/>
            </a:ext>
          </a:extLst>
        </xdr:cNvPr>
        <xdr:cNvCxnSpPr>
          <a:endCxn id="140" idx="1"/>
        </xdr:cNvCxnSpPr>
      </xdr:nvCxnSpPr>
      <xdr:spPr>
        <a:xfrm flipV="1">
          <a:off x="8528685" y="7661910"/>
          <a:ext cx="1270635" cy="381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289560</xdr:colOff>
      <xdr:row>44</xdr:row>
      <xdr:rowOff>173355</xdr:rowOff>
    </xdr:from>
    <xdr:to>
      <xdr:col>18</xdr:col>
      <xdr:colOff>289560</xdr:colOff>
      <xdr:row>46</xdr:row>
      <xdr:rowOff>43815</xdr:rowOff>
    </xdr:to>
    <xdr:sp macro="" textlink="">
      <xdr:nvSpPr>
        <xdr:cNvPr id="144" name="Rounded Rectangle 365">
          <a:extLst>
            <a:ext uri="{FF2B5EF4-FFF2-40B4-BE49-F238E27FC236}">
              <a16:creationId xmlns:a16="http://schemas.microsoft.com/office/drawing/2014/main" id="{954681EA-E35D-4E10-9978-CDF45871AC09}"/>
            </a:ext>
          </a:extLst>
        </xdr:cNvPr>
        <xdr:cNvSpPr/>
      </xdr:nvSpPr>
      <xdr:spPr>
        <a:xfrm>
          <a:off x="9799320" y="8075295"/>
          <a:ext cx="556260" cy="22098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Divider</a:t>
          </a:r>
        </a:p>
      </xdr:txBody>
    </xdr:sp>
    <xdr:clientData/>
  </xdr:twoCellAnchor>
  <xdr:oneCellAnchor>
    <xdr:from>
      <xdr:col>19</xdr:col>
      <xdr:colOff>163713</xdr:colOff>
      <xdr:row>44</xdr:row>
      <xdr:rowOff>150495</xdr:rowOff>
    </xdr:from>
    <xdr:ext cx="932949" cy="269369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269CCA8-5B44-490B-A864-A1ED32536D9C}"/>
            </a:ext>
          </a:extLst>
        </xdr:cNvPr>
        <xdr:cNvSpPr txBox="1"/>
      </xdr:nvSpPr>
      <xdr:spPr>
        <a:xfrm>
          <a:off x="10625973" y="8052435"/>
          <a:ext cx="932949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PBCLK8 =</a:t>
          </a:r>
        </a:p>
      </xdr:txBody>
    </xdr:sp>
    <xdr:clientData/>
  </xdr:oneCellAnchor>
  <xdr:twoCellAnchor>
    <xdr:from>
      <xdr:col>18</xdr:col>
      <xdr:colOff>289560</xdr:colOff>
      <xdr:row>45</xdr:row>
      <xdr:rowOff>108585</xdr:rowOff>
    </xdr:from>
    <xdr:to>
      <xdr:col>19</xdr:col>
      <xdr:colOff>163713</xdr:colOff>
      <xdr:row>45</xdr:row>
      <xdr:rowOff>109920</xdr:rowOff>
    </xdr:to>
    <xdr:cxnSp macro="">
      <xdr:nvCxnSpPr>
        <xdr:cNvPr id="146" name="Straight Arrow Connector 145">
          <a:extLst>
            <a:ext uri="{FF2B5EF4-FFF2-40B4-BE49-F238E27FC236}">
              <a16:creationId xmlns:a16="http://schemas.microsoft.com/office/drawing/2014/main" id="{09203F17-2687-48C1-8E5D-FBDEC58FF9A2}"/>
            </a:ext>
          </a:extLst>
        </xdr:cNvPr>
        <xdr:cNvCxnSpPr>
          <a:stCxn id="144" idx="3"/>
          <a:endCxn id="145" idx="1"/>
        </xdr:cNvCxnSpPr>
      </xdr:nvCxnSpPr>
      <xdr:spPr>
        <a:xfrm>
          <a:off x="10355580" y="8185785"/>
          <a:ext cx="270393" cy="133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318135</xdr:colOff>
      <xdr:row>45</xdr:row>
      <xdr:rowOff>108585</xdr:rowOff>
    </xdr:from>
    <xdr:to>
      <xdr:col>17</xdr:col>
      <xdr:colOff>289560</xdr:colOff>
      <xdr:row>45</xdr:row>
      <xdr:rowOff>112395</xdr:rowOff>
    </xdr:to>
    <xdr:cxnSp macro="">
      <xdr:nvCxnSpPr>
        <xdr:cNvPr id="147" name="Straight Arrow Connector 146">
          <a:extLst>
            <a:ext uri="{FF2B5EF4-FFF2-40B4-BE49-F238E27FC236}">
              <a16:creationId xmlns:a16="http://schemas.microsoft.com/office/drawing/2014/main" id="{4A036414-B483-4F85-A0F9-E36EA36731DA}"/>
            </a:ext>
          </a:extLst>
        </xdr:cNvPr>
        <xdr:cNvCxnSpPr>
          <a:endCxn id="144" idx="1"/>
        </xdr:cNvCxnSpPr>
      </xdr:nvCxnSpPr>
      <xdr:spPr>
        <a:xfrm flipV="1">
          <a:off x="8029575" y="8185785"/>
          <a:ext cx="1769745" cy="381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150704</xdr:colOff>
      <xdr:row>27</xdr:row>
      <xdr:rowOff>119445</xdr:rowOff>
    </xdr:from>
    <xdr:to>
      <xdr:col>15</xdr:col>
      <xdr:colOff>160020</xdr:colOff>
      <xdr:row>45</xdr:row>
      <xdr:rowOff>114300</xdr:rowOff>
    </xdr:to>
    <xdr:cxnSp macro="">
      <xdr:nvCxnSpPr>
        <xdr:cNvPr id="148" name="Straight Arrow Connector 147">
          <a:extLst>
            <a:ext uri="{FF2B5EF4-FFF2-40B4-BE49-F238E27FC236}">
              <a16:creationId xmlns:a16="http://schemas.microsoft.com/office/drawing/2014/main" id="{F7239665-8F56-4452-ACC7-8B32DBBEA696}"/>
            </a:ext>
          </a:extLst>
        </xdr:cNvPr>
        <xdr:cNvCxnSpPr/>
      </xdr:nvCxnSpPr>
      <xdr:spPr>
        <a:xfrm>
          <a:off x="8525084" y="5041965"/>
          <a:ext cx="9316" cy="314953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327660</xdr:colOff>
      <xdr:row>45</xdr:row>
      <xdr:rowOff>114300</xdr:rowOff>
    </xdr:from>
    <xdr:to>
      <xdr:col>14</xdr:col>
      <xdr:colOff>327660</xdr:colOff>
      <xdr:row>48</xdr:row>
      <xdr:rowOff>106680</xdr:rowOff>
    </xdr:to>
    <xdr:cxnSp macro="">
      <xdr:nvCxnSpPr>
        <xdr:cNvPr id="149" name="Straight Arrow Connector 148">
          <a:extLst>
            <a:ext uri="{FF2B5EF4-FFF2-40B4-BE49-F238E27FC236}">
              <a16:creationId xmlns:a16="http://schemas.microsoft.com/office/drawing/2014/main" id="{F6A091E8-6417-463F-8A67-8DB6EA741F21}"/>
            </a:ext>
          </a:extLst>
        </xdr:cNvPr>
        <xdr:cNvCxnSpPr/>
      </xdr:nvCxnSpPr>
      <xdr:spPr>
        <a:xfrm>
          <a:off x="8039100" y="8191500"/>
          <a:ext cx="0" cy="51816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464821</xdr:colOff>
      <xdr:row>3</xdr:row>
      <xdr:rowOff>114300</xdr:rowOff>
    </xdr:from>
    <xdr:ext cx="2964179" cy="4800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3D7A2DC4-02B1-4A12-A469-B2E0DEA0AC3D}"/>
            </a:ext>
          </a:extLst>
        </xdr:cNvPr>
        <xdr:cNvSpPr txBox="1"/>
      </xdr:nvSpPr>
      <xdr:spPr>
        <a:xfrm>
          <a:off x="5082541" y="822960"/>
          <a:ext cx="2964179" cy="48006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45720" tIns="18288" rIns="45720" bIns="18288" rtlCol="0" anchor="t">
          <a:noAutofit/>
        </a:bodyPr>
        <a:lstStyle/>
        <a:p>
          <a:r>
            <a:rPr lang="en-US" sz="1400" b="1">
              <a:latin typeface="Arial" pitchFamily="34" charset="0"/>
              <a:cs typeface="Arial" pitchFamily="34" charset="0"/>
            </a:rPr>
            <a:t>Click on highlighted cells and select settings per drop-down list</a:t>
          </a:r>
        </a:p>
      </xdr:txBody>
    </xdr:sp>
    <xdr:clientData/>
  </xdr:oneCellAnchor>
  <xdr:twoCellAnchor>
    <xdr:from>
      <xdr:col>9</xdr:col>
      <xdr:colOff>335280</xdr:colOff>
      <xdr:row>6</xdr:row>
      <xdr:rowOff>106680</xdr:rowOff>
    </xdr:from>
    <xdr:to>
      <xdr:col>10</xdr:col>
      <xdr:colOff>68580</xdr:colOff>
      <xdr:row>8</xdr:row>
      <xdr:rowOff>129540</xdr:rowOff>
    </xdr:to>
    <xdr:cxnSp macro="">
      <xdr:nvCxnSpPr>
        <xdr:cNvPr id="152" name="Straight Arrow Connector 151">
          <a:extLst>
            <a:ext uri="{FF2B5EF4-FFF2-40B4-BE49-F238E27FC236}">
              <a16:creationId xmlns:a16="http://schemas.microsoft.com/office/drawing/2014/main" id="{B3C4D297-4534-4DFF-A878-FACED5F8C281}"/>
            </a:ext>
          </a:extLst>
        </xdr:cNvPr>
        <xdr:cNvCxnSpPr/>
      </xdr:nvCxnSpPr>
      <xdr:spPr>
        <a:xfrm flipH="1">
          <a:off x="4953000" y="1341120"/>
          <a:ext cx="365760" cy="373380"/>
        </a:xfrm>
        <a:prstGeom prst="straightConnector1">
          <a:avLst/>
        </a:prstGeom>
        <a:ln w="381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99061</xdr:colOff>
      <xdr:row>15</xdr:row>
      <xdr:rowOff>129540</xdr:rowOff>
    </xdr:from>
    <xdr:ext cx="1828799" cy="4800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5B33327-F314-444D-BA7C-1E03FE7E7680}"/>
            </a:ext>
          </a:extLst>
        </xdr:cNvPr>
        <xdr:cNvSpPr txBox="1"/>
      </xdr:nvSpPr>
      <xdr:spPr>
        <a:xfrm>
          <a:off x="99061" y="2948940"/>
          <a:ext cx="1828799" cy="48006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45720" tIns="18288" rIns="45720" bIns="18288" rtlCol="0" anchor="t">
          <a:noAutofit/>
        </a:bodyPr>
        <a:lstStyle/>
        <a:p>
          <a:r>
            <a:rPr lang="en-US" sz="1400" b="1">
              <a:latin typeface="Arial" pitchFamily="34" charset="0"/>
              <a:cs typeface="Arial" pitchFamily="34" charset="0"/>
            </a:rPr>
            <a:t>Enter</a:t>
          </a:r>
          <a:r>
            <a:rPr lang="en-US" sz="1400" b="1" baseline="0">
              <a:latin typeface="Arial" pitchFamily="34" charset="0"/>
              <a:cs typeface="Arial" pitchFamily="34" charset="0"/>
            </a:rPr>
            <a:t> external clock or crystal frequency</a:t>
          </a:r>
          <a:endParaRPr lang="en-US" sz="14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4</xdr:col>
      <xdr:colOff>0</xdr:colOff>
      <xdr:row>18</xdr:row>
      <xdr:rowOff>137160</xdr:rowOff>
    </xdr:from>
    <xdr:to>
      <xdr:col>4</xdr:col>
      <xdr:colOff>152400</xdr:colOff>
      <xdr:row>20</xdr:row>
      <xdr:rowOff>137160</xdr:rowOff>
    </xdr:to>
    <xdr:cxnSp macro="">
      <xdr:nvCxnSpPr>
        <xdr:cNvPr id="154" name="Straight Arrow Connector 153">
          <a:extLst>
            <a:ext uri="{FF2B5EF4-FFF2-40B4-BE49-F238E27FC236}">
              <a16:creationId xmlns:a16="http://schemas.microsoft.com/office/drawing/2014/main" id="{5704A894-FCF3-4D97-8D43-915463A633B1}"/>
            </a:ext>
          </a:extLst>
        </xdr:cNvPr>
        <xdr:cNvCxnSpPr/>
      </xdr:nvCxnSpPr>
      <xdr:spPr>
        <a:xfrm>
          <a:off x="1554480" y="3482340"/>
          <a:ext cx="152400" cy="350520"/>
        </a:xfrm>
        <a:prstGeom prst="straightConnector1">
          <a:avLst/>
        </a:prstGeom>
        <a:ln w="381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213360</xdr:colOff>
      <xdr:row>56</xdr:row>
      <xdr:rowOff>7620</xdr:rowOff>
    </xdr:from>
    <xdr:to>
      <xdr:col>8</xdr:col>
      <xdr:colOff>571500</xdr:colOff>
      <xdr:row>74</xdr:row>
      <xdr:rowOff>83820</xdr:rowOff>
    </xdr:to>
    <xdr:sp macro="" textlink="">
      <xdr:nvSpPr>
        <xdr:cNvPr id="155" name="Rectangle 154">
          <a:extLst>
            <a:ext uri="{FF2B5EF4-FFF2-40B4-BE49-F238E27FC236}">
              <a16:creationId xmlns:a16="http://schemas.microsoft.com/office/drawing/2014/main" id="{AD7D57E4-E745-4FA4-A461-FE8D740426D6}"/>
            </a:ext>
          </a:extLst>
        </xdr:cNvPr>
        <xdr:cNvSpPr/>
      </xdr:nvSpPr>
      <xdr:spPr>
        <a:xfrm>
          <a:off x="861060" y="10035540"/>
          <a:ext cx="3589020" cy="323088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213360</xdr:colOff>
      <xdr:row>65</xdr:row>
      <xdr:rowOff>45720</xdr:rowOff>
    </xdr:from>
    <xdr:to>
      <xdr:col>8</xdr:col>
      <xdr:colOff>571500</xdr:colOff>
      <xdr:row>65</xdr:row>
      <xdr:rowOff>45720</xdr:rowOff>
    </xdr:to>
    <xdr:cxnSp macro="">
      <xdr:nvCxnSpPr>
        <xdr:cNvPr id="156" name="Straight Arrow Connector 155">
          <a:extLst>
            <a:ext uri="{FF2B5EF4-FFF2-40B4-BE49-F238E27FC236}">
              <a16:creationId xmlns:a16="http://schemas.microsoft.com/office/drawing/2014/main" id="{5FB5D253-CB1C-4F23-82C2-343587328221}"/>
            </a:ext>
          </a:extLst>
        </xdr:cNvPr>
        <xdr:cNvCxnSpPr>
          <a:stCxn id="155" idx="1"/>
          <a:endCxn id="155" idx="3"/>
        </xdr:cNvCxnSpPr>
      </xdr:nvCxnSpPr>
      <xdr:spPr>
        <a:xfrm>
          <a:off x="861060" y="11650980"/>
          <a:ext cx="3589020" cy="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211455</xdr:colOff>
      <xdr:row>59</xdr:row>
      <xdr:rowOff>121920</xdr:rowOff>
    </xdr:from>
    <xdr:to>
      <xdr:col>8</xdr:col>
      <xdr:colOff>579120</xdr:colOff>
      <xdr:row>59</xdr:row>
      <xdr:rowOff>123825</xdr:rowOff>
    </xdr:to>
    <xdr:cxnSp macro="">
      <xdr:nvCxnSpPr>
        <xdr:cNvPr id="157" name="Straight Arrow Connector 156">
          <a:extLst>
            <a:ext uri="{FF2B5EF4-FFF2-40B4-BE49-F238E27FC236}">
              <a16:creationId xmlns:a16="http://schemas.microsoft.com/office/drawing/2014/main" id="{C82F1CAE-3A62-4823-9ED3-367F79E80CBF}"/>
            </a:ext>
          </a:extLst>
        </xdr:cNvPr>
        <xdr:cNvCxnSpPr/>
      </xdr:nvCxnSpPr>
      <xdr:spPr>
        <a:xfrm flipV="1">
          <a:off x="859155" y="10675620"/>
          <a:ext cx="3598545" cy="190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434340</xdr:colOff>
      <xdr:row>82</xdr:row>
      <xdr:rowOff>160020</xdr:rowOff>
    </xdr:from>
    <xdr:to>
      <xdr:col>25</xdr:col>
      <xdr:colOff>220980</xdr:colOff>
      <xdr:row>111</xdr:row>
      <xdr:rowOff>144780</xdr:rowOff>
    </xdr:to>
    <xdr:sp macro="" textlink="">
      <xdr:nvSpPr>
        <xdr:cNvPr id="158" name="Rectangle 157">
          <a:extLst>
            <a:ext uri="{FF2B5EF4-FFF2-40B4-BE49-F238E27FC236}">
              <a16:creationId xmlns:a16="http://schemas.microsoft.com/office/drawing/2014/main" id="{496DF66D-7CA3-4B98-9972-04004ABD117F}"/>
            </a:ext>
          </a:extLst>
        </xdr:cNvPr>
        <xdr:cNvSpPr/>
      </xdr:nvSpPr>
      <xdr:spPr>
        <a:xfrm>
          <a:off x="6896100" y="14744700"/>
          <a:ext cx="7086600" cy="508254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434340</xdr:colOff>
      <xdr:row>86</xdr:row>
      <xdr:rowOff>41910</xdr:rowOff>
    </xdr:from>
    <xdr:to>
      <xdr:col>25</xdr:col>
      <xdr:colOff>213360</xdr:colOff>
      <xdr:row>86</xdr:row>
      <xdr:rowOff>45720</xdr:rowOff>
    </xdr:to>
    <xdr:cxnSp macro="">
      <xdr:nvCxnSpPr>
        <xdr:cNvPr id="159" name="Straight Arrow Connector 158">
          <a:extLst>
            <a:ext uri="{FF2B5EF4-FFF2-40B4-BE49-F238E27FC236}">
              <a16:creationId xmlns:a16="http://schemas.microsoft.com/office/drawing/2014/main" id="{E9995470-8E13-41FD-863C-AA5C8AD9E3BA}"/>
            </a:ext>
          </a:extLst>
        </xdr:cNvPr>
        <xdr:cNvCxnSpPr/>
      </xdr:nvCxnSpPr>
      <xdr:spPr>
        <a:xfrm>
          <a:off x="6896100" y="15335250"/>
          <a:ext cx="7078980" cy="381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586740</xdr:colOff>
      <xdr:row>1</xdr:row>
      <xdr:rowOff>327660</xdr:rowOff>
    </xdr:from>
    <xdr:to>
      <xdr:col>21</xdr:col>
      <xdr:colOff>53340</xdr:colOff>
      <xdr:row>6</xdr:row>
      <xdr:rowOff>76200</xdr:rowOff>
    </xdr:to>
    <xdr:sp macro="" textlink="">
      <xdr:nvSpPr>
        <xdr:cNvPr id="160" name="Rectangle 159">
          <a:extLst>
            <a:ext uri="{FF2B5EF4-FFF2-40B4-BE49-F238E27FC236}">
              <a16:creationId xmlns:a16="http://schemas.microsoft.com/office/drawing/2014/main" id="{2492A509-F8EB-44A1-A7E6-BF77324D51C9}"/>
            </a:ext>
          </a:extLst>
        </xdr:cNvPr>
        <xdr:cNvSpPr/>
      </xdr:nvSpPr>
      <xdr:spPr>
        <a:xfrm>
          <a:off x="8298180" y="502920"/>
          <a:ext cx="3177540" cy="80772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430530</xdr:colOff>
      <xdr:row>57</xdr:row>
      <xdr:rowOff>167641</xdr:rowOff>
    </xdr:from>
    <xdr:to>
      <xdr:col>13</xdr:col>
      <xdr:colOff>735330</xdr:colOff>
      <xdr:row>76</xdr:row>
      <xdr:rowOff>3</xdr:rowOff>
    </xdr:to>
    <xdr:sp macro="" textlink="">
      <xdr:nvSpPr>
        <xdr:cNvPr id="161" name="Trapezoid 160">
          <a:extLst>
            <a:ext uri="{FF2B5EF4-FFF2-40B4-BE49-F238E27FC236}">
              <a16:creationId xmlns:a16="http://schemas.microsoft.com/office/drawing/2014/main" id="{B4C35837-DDEC-43B0-A77E-B1CAAB141D2A}"/>
            </a:ext>
          </a:extLst>
        </xdr:cNvPr>
        <xdr:cNvSpPr/>
      </xdr:nvSpPr>
      <xdr:spPr>
        <a:xfrm rot="5400000">
          <a:off x="5974079" y="11799572"/>
          <a:ext cx="3162302" cy="304800"/>
        </a:xfrm>
        <a:prstGeom prst="trapezoid">
          <a:avLst>
            <a:gd name="adj" fmla="val 75000"/>
          </a:avLst>
        </a:prstGeom>
        <a:solidFill>
          <a:srgbClr val="C0C0C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50058</xdr:colOff>
      <xdr:row>58</xdr:row>
      <xdr:rowOff>174687</xdr:rowOff>
    </xdr:from>
    <xdr:to>
      <xdr:col>13</xdr:col>
      <xdr:colOff>421005</xdr:colOff>
      <xdr:row>58</xdr:row>
      <xdr:rowOff>175257</xdr:rowOff>
    </xdr:to>
    <xdr:cxnSp macro="">
      <xdr:nvCxnSpPr>
        <xdr:cNvPr id="162" name="Straight Arrow Connector 161">
          <a:extLst>
            <a:ext uri="{FF2B5EF4-FFF2-40B4-BE49-F238E27FC236}">
              <a16:creationId xmlns:a16="http://schemas.microsoft.com/office/drawing/2014/main" id="{2F96E4B8-424B-48AE-9E1B-5E3B392E3DFF}"/>
            </a:ext>
          </a:extLst>
        </xdr:cNvPr>
        <xdr:cNvCxnSpPr>
          <a:stCxn id="163" idx="3"/>
        </xdr:cNvCxnSpPr>
      </xdr:nvCxnSpPr>
      <xdr:spPr>
        <a:xfrm>
          <a:off x="6511818" y="10553127"/>
          <a:ext cx="881487" cy="57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21592</xdr:colOff>
      <xdr:row>58</xdr:row>
      <xdr:rowOff>40002</xdr:rowOff>
    </xdr:from>
    <xdr:ext cx="500906" cy="269369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4C173EBA-3E33-42BF-ACED-78E796780307}"/>
            </a:ext>
          </a:extLst>
        </xdr:cNvPr>
        <xdr:cNvSpPr txBox="1"/>
      </xdr:nvSpPr>
      <xdr:spPr>
        <a:xfrm>
          <a:off x="6010912" y="10418442"/>
          <a:ext cx="500906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FRC</a:t>
          </a:r>
        </a:p>
      </xdr:txBody>
    </xdr:sp>
    <xdr:clientData/>
  </xdr:oneCellAnchor>
  <xdr:twoCellAnchor>
    <xdr:from>
      <xdr:col>12</xdr:col>
      <xdr:colOff>88596</xdr:colOff>
      <xdr:row>60</xdr:row>
      <xdr:rowOff>172782</xdr:rowOff>
    </xdr:from>
    <xdr:to>
      <xdr:col>13</xdr:col>
      <xdr:colOff>419100</xdr:colOff>
      <xdr:row>60</xdr:row>
      <xdr:rowOff>173352</xdr:rowOff>
    </xdr:to>
    <xdr:cxnSp macro="">
      <xdr:nvCxnSpPr>
        <xdr:cNvPr id="164" name="Straight Arrow Connector 163">
          <a:extLst>
            <a:ext uri="{FF2B5EF4-FFF2-40B4-BE49-F238E27FC236}">
              <a16:creationId xmlns:a16="http://schemas.microsoft.com/office/drawing/2014/main" id="{2C110185-4479-4004-AC36-1AED1E61392B}"/>
            </a:ext>
          </a:extLst>
        </xdr:cNvPr>
        <xdr:cNvCxnSpPr>
          <a:stCxn id="165" idx="3"/>
        </xdr:cNvCxnSpPr>
      </xdr:nvCxnSpPr>
      <xdr:spPr>
        <a:xfrm>
          <a:off x="6550356" y="10901742"/>
          <a:ext cx="841044" cy="57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722196</xdr:colOff>
      <xdr:row>60</xdr:row>
      <xdr:rowOff>38097</xdr:rowOff>
    </xdr:from>
    <xdr:ext cx="577980" cy="26936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CA8881EE-7930-4CEB-B0F6-411F42412E1B}"/>
            </a:ext>
          </a:extLst>
        </xdr:cNvPr>
        <xdr:cNvSpPr txBox="1"/>
      </xdr:nvSpPr>
      <xdr:spPr>
        <a:xfrm>
          <a:off x="5972376" y="10767057"/>
          <a:ext cx="57798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SPLL</a:t>
          </a:r>
        </a:p>
      </xdr:txBody>
    </xdr:sp>
    <xdr:clientData/>
  </xdr:oneCellAnchor>
  <xdr:twoCellAnchor>
    <xdr:from>
      <xdr:col>12</xdr:col>
      <xdr:colOff>110012</xdr:colOff>
      <xdr:row>62</xdr:row>
      <xdr:rowOff>172782</xdr:rowOff>
    </xdr:from>
    <xdr:to>
      <xdr:col>13</xdr:col>
      <xdr:colOff>421005</xdr:colOff>
      <xdr:row>62</xdr:row>
      <xdr:rowOff>175257</xdr:rowOff>
    </xdr:to>
    <xdr:cxnSp macro="">
      <xdr:nvCxnSpPr>
        <xdr:cNvPr id="166" name="Straight Arrow Connector 165">
          <a:extLst>
            <a:ext uri="{FF2B5EF4-FFF2-40B4-BE49-F238E27FC236}">
              <a16:creationId xmlns:a16="http://schemas.microsoft.com/office/drawing/2014/main" id="{32A23854-1CE9-4870-8D88-30870DC7D824}"/>
            </a:ext>
          </a:extLst>
        </xdr:cNvPr>
        <xdr:cNvCxnSpPr>
          <a:stCxn id="167" idx="3"/>
        </xdr:cNvCxnSpPr>
      </xdr:nvCxnSpPr>
      <xdr:spPr>
        <a:xfrm>
          <a:off x="6571772" y="11252262"/>
          <a:ext cx="821533" cy="247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700781</xdr:colOff>
      <xdr:row>62</xdr:row>
      <xdr:rowOff>38097</xdr:rowOff>
    </xdr:from>
    <xdr:ext cx="620811" cy="26936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D30B5307-2318-4AA4-8F4A-9A00A3C7061C}"/>
            </a:ext>
          </a:extLst>
        </xdr:cNvPr>
        <xdr:cNvSpPr txBox="1"/>
      </xdr:nvSpPr>
      <xdr:spPr>
        <a:xfrm>
          <a:off x="5950961" y="11117577"/>
          <a:ext cx="62081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POSC</a:t>
          </a:r>
        </a:p>
      </xdr:txBody>
    </xdr:sp>
    <xdr:clientData/>
  </xdr:oneCellAnchor>
  <xdr:twoCellAnchor>
    <xdr:from>
      <xdr:col>12</xdr:col>
      <xdr:colOff>105620</xdr:colOff>
      <xdr:row>64</xdr:row>
      <xdr:rowOff>170877</xdr:rowOff>
    </xdr:from>
    <xdr:to>
      <xdr:col>13</xdr:col>
      <xdr:colOff>421005</xdr:colOff>
      <xdr:row>64</xdr:row>
      <xdr:rowOff>173352</xdr:rowOff>
    </xdr:to>
    <xdr:cxnSp macro="">
      <xdr:nvCxnSpPr>
        <xdr:cNvPr id="168" name="Straight Arrow Connector 167">
          <a:extLst>
            <a:ext uri="{FF2B5EF4-FFF2-40B4-BE49-F238E27FC236}">
              <a16:creationId xmlns:a16="http://schemas.microsoft.com/office/drawing/2014/main" id="{B16BD5C0-E738-4392-B31D-79A34E565FD2}"/>
            </a:ext>
          </a:extLst>
        </xdr:cNvPr>
        <xdr:cNvCxnSpPr>
          <a:stCxn id="169" idx="3"/>
        </xdr:cNvCxnSpPr>
      </xdr:nvCxnSpPr>
      <xdr:spPr>
        <a:xfrm>
          <a:off x="6567380" y="11600877"/>
          <a:ext cx="825925" cy="247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705173</xdr:colOff>
      <xdr:row>64</xdr:row>
      <xdr:rowOff>36192</xdr:rowOff>
    </xdr:from>
    <xdr:ext cx="612027" cy="26936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1168AF56-4266-4BD0-ABE7-335A792B60A0}"/>
            </a:ext>
          </a:extLst>
        </xdr:cNvPr>
        <xdr:cNvSpPr txBox="1"/>
      </xdr:nvSpPr>
      <xdr:spPr>
        <a:xfrm>
          <a:off x="5955353" y="11466192"/>
          <a:ext cx="61202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BFRC</a:t>
          </a:r>
        </a:p>
      </xdr:txBody>
    </xdr:sp>
    <xdr:clientData/>
  </xdr:oneCellAnchor>
  <xdr:twoCellAnchor>
    <xdr:from>
      <xdr:col>12</xdr:col>
      <xdr:colOff>101388</xdr:colOff>
      <xdr:row>66</xdr:row>
      <xdr:rowOff>172782</xdr:rowOff>
    </xdr:from>
    <xdr:to>
      <xdr:col>13</xdr:col>
      <xdr:colOff>417195</xdr:colOff>
      <xdr:row>67</xdr:row>
      <xdr:rowOff>1902</xdr:rowOff>
    </xdr:to>
    <xdr:cxnSp macro="">
      <xdr:nvCxnSpPr>
        <xdr:cNvPr id="170" name="Straight Arrow Connector 169">
          <a:extLst>
            <a:ext uri="{FF2B5EF4-FFF2-40B4-BE49-F238E27FC236}">
              <a16:creationId xmlns:a16="http://schemas.microsoft.com/office/drawing/2014/main" id="{AF48F23F-21F5-4592-8C0B-24E920086695}"/>
            </a:ext>
          </a:extLst>
        </xdr:cNvPr>
        <xdr:cNvCxnSpPr>
          <a:stCxn id="171" idx="3"/>
        </xdr:cNvCxnSpPr>
      </xdr:nvCxnSpPr>
      <xdr:spPr>
        <a:xfrm>
          <a:off x="6563148" y="11953302"/>
          <a:ext cx="826347" cy="438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709405</xdr:colOff>
      <xdr:row>66</xdr:row>
      <xdr:rowOff>38097</xdr:rowOff>
    </xdr:from>
    <xdr:ext cx="603563" cy="26936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EB3E3E40-F42C-4551-BFB5-A12F063A330C}"/>
            </a:ext>
          </a:extLst>
        </xdr:cNvPr>
        <xdr:cNvSpPr txBox="1"/>
      </xdr:nvSpPr>
      <xdr:spPr>
        <a:xfrm>
          <a:off x="5959585" y="11818617"/>
          <a:ext cx="60356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LPRC</a:t>
          </a:r>
        </a:p>
      </xdr:txBody>
    </xdr:sp>
    <xdr:clientData/>
  </xdr:oneCellAnchor>
  <xdr:twoCellAnchor>
    <xdr:from>
      <xdr:col>12</xdr:col>
      <xdr:colOff>110012</xdr:colOff>
      <xdr:row>68</xdr:row>
      <xdr:rowOff>170877</xdr:rowOff>
    </xdr:from>
    <xdr:to>
      <xdr:col>13</xdr:col>
      <xdr:colOff>417195</xdr:colOff>
      <xdr:row>68</xdr:row>
      <xdr:rowOff>175257</xdr:rowOff>
    </xdr:to>
    <xdr:cxnSp macro="">
      <xdr:nvCxnSpPr>
        <xdr:cNvPr id="172" name="Straight Arrow Connector 171">
          <a:extLst>
            <a:ext uri="{FF2B5EF4-FFF2-40B4-BE49-F238E27FC236}">
              <a16:creationId xmlns:a16="http://schemas.microsoft.com/office/drawing/2014/main" id="{B3CA11B1-1B2D-4172-ADA0-FE3744CE416B}"/>
            </a:ext>
          </a:extLst>
        </xdr:cNvPr>
        <xdr:cNvCxnSpPr>
          <a:stCxn id="173" idx="3"/>
        </xdr:cNvCxnSpPr>
      </xdr:nvCxnSpPr>
      <xdr:spPr>
        <a:xfrm>
          <a:off x="6571772" y="12301917"/>
          <a:ext cx="817723" cy="438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700781</xdr:colOff>
      <xdr:row>68</xdr:row>
      <xdr:rowOff>36192</xdr:rowOff>
    </xdr:from>
    <xdr:ext cx="620811" cy="26936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1AACF94-EBF5-47EE-B752-F31B9B4D54B2}"/>
            </a:ext>
          </a:extLst>
        </xdr:cNvPr>
        <xdr:cNvSpPr txBox="1"/>
      </xdr:nvSpPr>
      <xdr:spPr>
        <a:xfrm>
          <a:off x="5950961" y="12167232"/>
          <a:ext cx="62081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SOSC</a:t>
          </a:r>
        </a:p>
      </xdr:txBody>
    </xdr:sp>
    <xdr:clientData/>
  </xdr:oneCellAnchor>
  <xdr:twoCellAnchor>
    <xdr:from>
      <xdr:col>13</xdr:col>
      <xdr:colOff>735330</xdr:colOff>
      <xdr:row>67</xdr:row>
      <xdr:rowOff>93255</xdr:rowOff>
    </xdr:from>
    <xdr:to>
      <xdr:col>19</xdr:col>
      <xdr:colOff>226695</xdr:colOff>
      <xdr:row>67</xdr:row>
      <xdr:rowOff>95252</xdr:rowOff>
    </xdr:to>
    <xdr:cxnSp macro="">
      <xdr:nvCxnSpPr>
        <xdr:cNvPr id="174" name="Straight Arrow Connector 173">
          <a:extLst>
            <a:ext uri="{FF2B5EF4-FFF2-40B4-BE49-F238E27FC236}">
              <a16:creationId xmlns:a16="http://schemas.microsoft.com/office/drawing/2014/main" id="{D53E56FF-B221-4E22-B723-857914E10259}"/>
            </a:ext>
          </a:extLst>
        </xdr:cNvPr>
        <xdr:cNvCxnSpPr>
          <a:endCxn id="196" idx="1"/>
        </xdr:cNvCxnSpPr>
      </xdr:nvCxnSpPr>
      <xdr:spPr>
        <a:xfrm flipV="1">
          <a:off x="7707630" y="12049035"/>
          <a:ext cx="2981325" cy="1997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590550</xdr:colOff>
      <xdr:row>75</xdr:row>
      <xdr:rowOff>87627</xdr:rowOff>
    </xdr:from>
    <xdr:to>
      <xdr:col>13</xdr:col>
      <xdr:colOff>590550</xdr:colOff>
      <xdr:row>77</xdr:row>
      <xdr:rowOff>163827</xdr:rowOff>
    </xdr:to>
    <xdr:cxnSp macro="">
      <xdr:nvCxnSpPr>
        <xdr:cNvPr id="175" name="Straight Arrow Connector 174">
          <a:extLst>
            <a:ext uri="{FF2B5EF4-FFF2-40B4-BE49-F238E27FC236}">
              <a16:creationId xmlns:a16="http://schemas.microsoft.com/office/drawing/2014/main" id="{86F8E36F-56B7-4103-A594-2D5DE36AED14}"/>
            </a:ext>
          </a:extLst>
        </xdr:cNvPr>
        <xdr:cNvCxnSpPr/>
      </xdr:nvCxnSpPr>
      <xdr:spPr>
        <a:xfrm flipV="1">
          <a:off x="7562850" y="13445487"/>
          <a:ext cx="0" cy="42672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105620</xdr:colOff>
      <xdr:row>64</xdr:row>
      <xdr:rowOff>170877</xdr:rowOff>
    </xdr:from>
    <xdr:to>
      <xdr:col>13</xdr:col>
      <xdr:colOff>421005</xdr:colOff>
      <xdr:row>64</xdr:row>
      <xdr:rowOff>173352</xdr:rowOff>
    </xdr:to>
    <xdr:cxnSp macro="">
      <xdr:nvCxnSpPr>
        <xdr:cNvPr id="176" name="Straight Arrow Connector 175">
          <a:extLst>
            <a:ext uri="{FF2B5EF4-FFF2-40B4-BE49-F238E27FC236}">
              <a16:creationId xmlns:a16="http://schemas.microsoft.com/office/drawing/2014/main" id="{D7CD74D2-6DF7-41A4-BCA7-D9C5A307C675}"/>
            </a:ext>
          </a:extLst>
        </xdr:cNvPr>
        <xdr:cNvCxnSpPr>
          <a:stCxn id="177" idx="3"/>
        </xdr:cNvCxnSpPr>
      </xdr:nvCxnSpPr>
      <xdr:spPr>
        <a:xfrm>
          <a:off x="6567380" y="11600877"/>
          <a:ext cx="825925" cy="247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705173</xdr:colOff>
      <xdr:row>64</xdr:row>
      <xdr:rowOff>36192</xdr:rowOff>
    </xdr:from>
    <xdr:ext cx="612027" cy="26936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F466FF5B-D91F-423C-933C-C90F92A0F883}"/>
            </a:ext>
          </a:extLst>
        </xdr:cNvPr>
        <xdr:cNvSpPr txBox="1"/>
      </xdr:nvSpPr>
      <xdr:spPr>
        <a:xfrm>
          <a:off x="5955353" y="11466192"/>
          <a:ext cx="61202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BFRC</a:t>
          </a:r>
        </a:p>
      </xdr:txBody>
    </xdr:sp>
    <xdr:clientData/>
  </xdr:oneCellAnchor>
  <xdr:twoCellAnchor>
    <xdr:from>
      <xdr:col>12</xdr:col>
      <xdr:colOff>101388</xdr:colOff>
      <xdr:row>66</xdr:row>
      <xdr:rowOff>172782</xdr:rowOff>
    </xdr:from>
    <xdr:to>
      <xdr:col>13</xdr:col>
      <xdr:colOff>417195</xdr:colOff>
      <xdr:row>67</xdr:row>
      <xdr:rowOff>1902</xdr:rowOff>
    </xdr:to>
    <xdr:cxnSp macro="">
      <xdr:nvCxnSpPr>
        <xdr:cNvPr id="178" name="Straight Arrow Connector 177">
          <a:extLst>
            <a:ext uri="{FF2B5EF4-FFF2-40B4-BE49-F238E27FC236}">
              <a16:creationId xmlns:a16="http://schemas.microsoft.com/office/drawing/2014/main" id="{29222869-A0D3-43F0-B5BC-3C13DA4687C2}"/>
            </a:ext>
          </a:extLst>
        </xdr:cNvPr>
        <xdr:cNvCxnSpPr>
          <a:stCxn id="179" idx="3"/>
        </xdr:cNvCxnSpPr>
      </xdr:nvCxnSpPr>
      <xdr:spPr>
        <a:xfrm>
          <a:off x="6563148" y="11953302"/>
          <a:ext cx="826347" cy="438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709405</xdr:colOff>
      <xdr:row>66</xdr:row>
      <xdr:rowOff>38097</xdr:rowOff>
    </xdr:from>
    <xdr:ext cx="603563" cy="26936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D57DAF95-1B59-4779-98AF-3604DC66DBB7}"/>
            </a:ext>
          </a:extLst>
        </xdr:cNvPr>
        <xdr:cNvSpPr txBox="1"/>
      </xdr:nvSpPr>
      <xdr:spPr>
        <a:xfrm>
          <a:off x="5959585" y="11818617"/>
          <a:ext cx="60356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LPRC</a:t>
          </a:r>
        </a:p>
      </xdr:txBody>
    </xdr:sp>
    <xdr:clientData/>
  </xdr:oneCellAnchor>
  <xdr:twoCellAnchor>
    <xdr:from>
      <xdr:col>12</xdr:col>
      <xdr:colOff>110012</xdr:colOff>
      <xdr:row>68</xdr:row>
      <xdr:rowOff>170877</xdr:rowOff>
    </xdr:from>
    <xdr:to>
      <xdr:col>13</xdr:col>
      <xdr:colOff>417195</xdr:colOff>
      <xdr:row>68</xdr:row>
      <xdr:rowOff>175257</xdr:rowOff>
    </xdr:to>
    <xdr:cxnSp macro="">
      <xdr:nvCxnSpPr>
        <xdr:cNvPr id="180" name="Straight Arrow Connector 179">
          <a:extLst>
            <a:ext uri="{FF2B5EF4-FFF2-40B4-BE49-F238E27FC236}">
              <a16:creationId xmlns:a16="http://schemas.microsoft.com/office/drawing/2014/main" id="{7700FE05-ACCC-48A5-8704-CC920FE2B7A1}"/>
            </a:ext>
          </a:extLst>
        </xdr:cNvPr>
        <xdr:cNvCxnSpPr>
          <a:stCxn id="181" idx="3"/>
        </xdr:cNvCxnSpPr>
      </xdr:nvCxnSpPr>
      <xdr:spPr>
        <a:xfrm>
          <a:off x="6571772" y="12301917"/>
          <a:ext cx="817723" cy="438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700781</xdr:colOff>
      <xdr:row>68</xdr:row>
      <xdr:rowOff>36192</xdr:rowOff>
    </xdr:from>
    <xdr:ext cx="620811" cy="26936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9923F4C-8DA8-439F-8A02-F5E7F9BB0385}"/>
            </a:ext>
          </a:extLst>
        </xdr:cNvPr>
        <xdr:cNvSpPr txBox="1"/>
      </xdr:nvSpPr>
      <xdr:spPr>
        <a:xfrm>
          <a:off x="5950961" y="12167232"/>
          <a:ext cx="62081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SOSC</a:t>
          </a:r>
        </a:p>
      </xdr:txBody>
    </xdr:sp>
    <xdr:clientData/>
  </xdr:oneCellAnchor>
  <xdr:twoCellAnchor>
    <xdr:from>
      <xdr:col>12</xdr:col>
      <xdr:colOff>199749</xdr:colOff>
      <xdr:row>71</xdr:row>
      <xdr:rowOff>3237</xdr:rowOff>
    </xdr:from>
    <xdr:to>
      <xdr:col>13</xdr:col>
      <xdr:colOff>421005</xdr:colOff>
      <xdr:row>71</xdr:row>
      <xdr:rowOff>5712</xdr:rowOff>
    </xdr:to>
    <xdr:cxnSp macro="">
      <xdr:nvCxnSpPr>
        <xdr:cNvPr id="182" name="Straight Arrow Connector 181">
          <a:extLst>
            <a:ext uri="{FF2B5EF4-FFF2-40B4-BE49-F238E27FC236}">
              <a16:creationId xmlns:a16="http://schemas.microsoft.com/office/drawing/2014/main" id="{AA9B5923-D973-44F4-9D87-C2DB33A60419}"/>
            </a:ext>
          </a:extLst>
        </xdr:cNvPr>
        <xdr:cNvCxnSpPr>
          <a:stCxn id="183" idx="3"/>
        </xdr:cNvCxnSpPr>
      </xdr:nvCxnSpPr>
      <xdr:spPr>
        <a:xfrm>
          <a:off x="6661509" y="12660057"/>
          <a:ext cx="731796" cy="247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611045</xdr:colOff>
      <xdr:row>70</xdr:row>
      <xdr:rowOff>43812</xdr:rowOff>
    </xdr:from>
    <xdr:ext cx="800284" cy="26936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A18B6781-DF17-4674-A747-19F48E851663}"/>
            </a:ext>
          </a:extLst>
        </xdr:cNvPr>
        <xdr:cNvSpPr txBox="1"/>
      </xdr:nvSpPr>
      <xdr:spPr>
        <a:xfrm>
          <a:off x="5861225" y="12525372"/>
          <a:ext cx="800284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PBCLK1</a:t>
          </a:r>
        </a:p>
      </xdr:txBody>
    </xdr:sp>
    <xdr:clientData/>
  </xdr:oneCellAnchor>
  <xdr:twoCellAnchor>
    <xdr:from>
      <xdr:col>12</xdr:col>
      <xdr:colOff>204045</xdr:colOff>
      <xdr:row>73</xdr:row>
      <xdr:rowOff>5142</xdr:rowOff>
    </xdr:from>
    <xdr:to>
      <xdr:col>13</xdr:col>
      <xdr:colOff>417195</xdr:colOff>
      <xdr:row>73</xdr:row>
      <xdr:rowOff>9522</xdr:rowOff>
    </xdr:to>
    <xdr:cxnSp macro="">
      <xdr:nvCxnSpPr>
        <xdr:cNvPr id="184" name="Straight Arrow Connector 183">
          <a:extLst>
            <a:ext uri="{FF2B5EF4-FFF2-40B4-BE49-F238E27FC236}">
              <a16:creationId xmlns:a16="http://schemas.microsoft.com/office/drawing/2014/main" id="{AA658F07-8D99-4AE7-9024-624EC5FDB8EE}"/>
            </a:ext>
          </a:extLst>
        </xdr:cNvPr>
        <xdr:cNvCxnSpPr>
          <a:stCxn id="185" idx="3"/>
        </xdr:cNvCxnSpPr>
      </xdr:nvCxnSpPr>
      <xdr:spPr>
        <a:xfrm>
          <a:off x="6665805" y="13012482"/>
          <a:ext cx="723690" cy="438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606749</xdr:colOff>
      <xdr:row>72</xdr:row>
      <xdr:rowOff>45717</xdr:rowOff>
    </xdr:from>
    <xdr:ext cx="808876" cy="26936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B36BC807-44DA-4F17-B315-1A73033780CD}"/>
            </a:ext>
          </a:extLst>
        </xdr:cNvPr>
        <xdr:cNvSpPr txBox="1"/>
      </xdr:nvSpPr>
      <xdr:spPr>
        <a:xfrm>
          <a:off x="5856929" y="12877797"/>
          <a:ext cx="808876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SYSCLK</a:t>
          </a:r>
        </a:p>
      </xdr:txBody>
    </xdr:sp>
    <xdr:clientData/>
  </xdr:oneCellAnchor>
  <xdr:twoCellAnchor>
    <xdr:from>
      <xdr:col>12</xdr:col>
      <xdr:colOff>173355</xdr:colOff>
      <xdr:row>75</xdr:row>
      <xdr:rowOff>9435</xdr:rowOff>
    </xdr:from>
    <xdr:to>
      <xdr:col>13</xdr:col>
      <xdr:colOff>419100</xdr:colOff>
      <xdr:row>75</xdr:row>
      <xdr:rowOff>15240</xdr:rowOff>
    </xdr:to>
    <xdr:cxnSp macro="">
      <xdr:nvCxnSpPr>
        <xdr:cNvPr id="186" name="Straight Arrow Connector 185">
          <a:extLst>
            <a:ext uri="{FF2B5EF4-FFF2-40B4-BE49-F238E27FC236}">
              <a16:creationId xmlns:a16="http://schemas.microsoft.com/office/drawing/2014/main" id="{880A734A-1CD8-4FB6-982E-38A64CF7552B}"/>
            </a:ext>
          </a:extLst>
        </xdr:cNvPr>
        <xdr:cNvCxnSpPr>
          <a:stCxn id="189" idx="3"/>
        </xdr:cNvCxnSpPr>
      </xdr:nvCxnSpPr>
      <xdr:spPr>
        <a:xfrm>
          <a:off x="6635115" y="13367295"/>
          <a:ext cx="756285" cy="580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352162</xdr:colOff>
      <xdr:row>74</xdr:row>
      <xdr:rowOff>51432</xdr:rowOff>
    </xdr:from>
    <xdr:ext cx="937051" cy="26936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A9AC2AF-B0AE-47A4-B670-41F0104E7502}"/>
            </a:ext>
          </a:extLst>
        </xdr:cNvPr>
        <xdr:cNvSpPr txBox="1"/>
      </xdr:nvSpPr>
      <xdr:spPr>
        <a:xfrm>
          <a:off x="5602342" y="13234032"/>
          <a:ext cx="93705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REFCLKIx</a:t>
          </a:r>
        </a:p>
      </xdr:txBody>
    </xdr:sp>
    <xdr:clientData/>
  </xdr:oneCellAnchor>
  <xdr:twoCellAnchor>
    <xdr:from>
      <xdr:col>12</xdr:col>
      <xdr:colOff>22860</xdr:colOff>
      <xdr:row>74</xdr:row>
      <xdr:rowOff>106680</xdr:rowOff>
    </xdr:from>
    <xdr:to>
      <xdr:col>12</xdr:col>
      <xdr:colOff>179070</xdr:colOff>
      <xdr:row>75</xdr:row>
      <xdr:rowOff>83820</xdr:rowOff>
    </xdr:to>
    <xdr:grpSp>
      <xdr:nvGrpSpPr>
        <xdr:cNvPr id="188" name="Group 187">
          <a:extLst>
            <a:ext uri="{FF2B5EF4-FFF2-40B4-BE49-F238E27FC236}">
              <a16:creationId xmlns:a16="http://schemas.microsoft.com/office/drawing/2014/main" id="{DF31AB08-30C2-4E5E-990E-ACB5F5A7BA11}"/>
            </a:ext>
          </a:extLst>
        </xdr:cNvPr>
        <xdr:cNvGrpSpPr/>
      </xdr:nvGrpSpPr>
      <xdr:grpSpPr>
        <a:xfrm>
          <a:off x="6484620" y="13289280"/>
          <a:ext cx="156210" cy="152400"/>
          <a:chOff x="7957185" y="6433185"/>
          <a:chExt cx="156210" cy="160020"/>
        </a:xfrm>
      </xdr:grpSpPr>
      <xdr:sp macro="" textlink="">
        <xdr:nvSpPr>
          <xdr:cNvPr id="189" name="Rectangle 188">
            <a:extLst>
              <a:ext uri="{FF2B5EF4-FFF2-40B4-BE49-F238E27FC236}">
                <a16:creationId xmlns:a16="http://schemas.microsoft.com/office/drawing/2014/main" id="{62121226-C384-4AD0-B2D0-B847F2459107}"/>
              </a:ext>
            </a:extLst>
          </xdr:cNvPr>
          <xdr:cNvSpPr/>
        </xdr:nvSpPr>
        <xdr:spPr>
          <a:xfrm>
            <a:off x="7962900" y="6438900"/>
            <a:ext cx="144780" cy="152400"/>
          </a:xfrm>
          <a:prstGeom prst="rect">
            <a:avLst/>
          </a:prstGeom>
          <a:solidFill>
            <a:schemeClr val="bg1"/>
          </a:solidFill>
          <a:ln w="222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cxnSp macro="">
        <xdr:nvCxnSpPr>
          <xdr:cNvPr id="190" name="Straight Connector 189">
            <a:extLst>
              <a:ext uri="{FF2B5EF4-FFF2-40B4-BE49-F238E27FC236}">
                <a16:creationId xmlns:a16="http://schemas.microsoft.com/office/drawing/2014/main" id="{4D7C5A97-2EFE-4D85-9840-BB81BFF7A40A}"/>
              </a:ext>
            </a:extLst>
          </xdr:cNvPr>
          <xdr:cNvCxnSpPr/>
        </xdr:nvCxnSpPr>
        <xdr:spPr>
          <a:xfrm flipV="1">
            <a:off x="7957185" y="6433185"/>
            <a:ext cx="148590" cy="16002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" name="Straight Connector 190">
            <a:extLst>
              <a:ext uri="{FF2B5EF4-FFF2-40B4-BE49-F238E27FC236}">
                <a16:creationId xmlns:a16="http://schemas.microsoft.com/office/drawing/2014/main" id="{BDE5AE7A-C477-4511-A146-94E6A0FB0500}"/>
              </a:ext>
            </a:extLst>
          </xdr:cNvPr>
          <xdr:cNvCxnSpPr/>
        </xdr:nvCxnSpPr>
        <xdr:spPr>
          <a:xfrm flipH="1" flipV="1">
            <a:off x="7962901" y="6442710"/>
            <a:ext cx="150494" cy="14859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251460</xdr:colOff>
      <xdr:row>76</xdr:row>
      <xdr:rowOff>137160</xdr:rowOff>
    </xdr:from>
    <xdr:ext cx="1447800" cy="4800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E8F75FEA-D780-4940-9F5F-C4902388CB2E}"/>
            </a:ext>
          </a:extLst>
        </xdr:cNvPr>
        <xdr:cNvSpPr txBox="1"/>
      </xdr:nvSpPr>
      <xdr:spPr>
        <a:xfrm>
          <a:off x="4869180" y="13670280"/>
          <a:ext cx="1447800" cy="48006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45720" tIns="18288" rIns="45720" bIns="18288" rtlCol="0" anchor="t">
          <a:noAutofit/>
        </a:bodyPr>
        <a:lstStyle/>
        <a:p>
          <a:r>
            <a:rPr lang="en-US" sz="1400" b="1">
              <a:latin typeface="Arial" pitchFamily="34" charset="0"/>
              <a:cs typeface="Arial" pitchFamily="34" charset="0"/>
            </a:rPr>
            <a:t>Enter</a:t>
          </a:r>
          <a:r>
            <a:rPr lang="en-US" sz="1400" b="1" baseline="0">
              <a:latin typeface="Arial" pitchFamily="34" charset="0"/>
              <a:cs typeface="Arial" pitchFamily="34" charset="0"/>
            </a:rPr>
            <a:t> external clock frequency</a:t>
          </a:r>
          <a:endParaRPr lang="en-US" sz="14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11</xdr:col>
      <xdr:colOff>342900</xdr:colOff>
      <xdr:row>75</xdr:row>
      <xdr:rowOff>99060</xdr:rowOff>
    </xdr:from>
    <xdr:to>
      <xdr:col>12</xdr:col>
      <xdr:colOff>266700</xdr:colOff>
      <xdr:row>77</xdr:row>
      <xdr:rowOff>68580</xdr:rowOff>
    </xdr:to>
    <xdr:cxnSp macro="">
      <xdr:nvCxnSpPr>
        <xdr:cNvPr id="193" name="Straight Arrow Connector 192">
          <a:extLst>
            <a:ext uri="{FF2B5EF4-FFF2-40B4-BE49-F238E27FC236}">
              <a16:creationId xmlns:a16="http://schemas.microsoft.com/office/drawing/2014/main" id="{DD6E6D0B-A3D0-4F4D-9994-46E9FA0F09A8}"/>
            </a:ext>
          </a:extLst>
        </xdr:cNvPr>
        <xdr:cNvCxnSpPr/>
      </xdr:nvCxnSpPr>
      <xdr:spPr>
        <a:xfrm flipV="1">
          <a:off x="6332220" y="13456920"/>
          <a:ext cx="396240" cy="320040"/>
        </a:xfrm>
        <a:prstGeom prst="straightConnector1">
          <a:avLst/>
        </a:prstGeom>
        <a:ln w="381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106680</xdr:colOff>
      <xdr:row>70</xdr:row>
      <xdr:rowOff>106680</xdr:rowOff>
    </xdr:from>
    <xdr:to>
      <xdr:col>19</xdr:col>
      <xdr:colOff>91440</xdr:colOff>
      <xdr:row>70</xdr:row>
      <xdr:rowOff>114300</xdr:rowOff>
    </xdr:to>
    <xdr:cxnSp macro="">
      <xdr:nvCxnSpPr>
        <xdr:cNvPr id="194" name="Straight Arrow Connector 193">
          <a:extLst>
            <a:ext uri="{FF2B5EF4-FFF2-40B4-BE49-F238E27FC236}">
              <a16:creationId xmlns:a16="http://schemas.microsoft.com/office/drawing/2014/main" id="{D5CB1E9C-B455-4D1E-828B-179C230596C9}"/>
            </a:ext>
          </a:extLst>
        </xdr:cNvPr>
        <xdr:cNvCxnSpPr/>
      </xdr:nvCxnSpPr>
      <xdr:spPr>
        <a:xfrm flipV="1">
          <a:off x="10172700" y="12588240"/>
          <a:ext cx="381000" cy="762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220980</xdr:colOff>
      <xdr:row>67</xdr:row>
      <xdr:rowOff>15240</xdr:rowOff>
    </xdr:from>
    <xdr:to>
      <xdr:col>19</xdr:col>
      <xdr:colOff>377190</xdr:colOff>
      <xdr:row>67</xdr:row>
      <xdr:rowOff>167640</xdr:rowOff>
    </xdr:to>
    <xdr:grpSp>
      <xdr:nvGrpSpPr>
        <xdr:cNvPr id="195" name="Group 194">
          <a:extLst>
            <a:ext uri="{FF2B5EF4-FFF2-40B4-BE49-F238E27FC236}">
              <a16:creationId xmlns:a16="http://schemas.microsoft.com/office/drawing/2014/main" id="{7794BDDA-33CC-4A79-A0B7-0DED4F8116FC}"/>
            </a:ext>
          </a:extLst>
        </xdr:cNvPr>
        <xdr:cNvGrpSpPr/>
      </xdr:nvGrpSpPr>
      <xdr:grpSpPr>
        <a:xfrm>
          <a:off x="10683240" y="11971020"/>
          <a:ext cx="156210" cy="152400"/>
          <a:chOff x="7957185" y="6433185"/>
          <a:chExt cx="156210" cy="160020"/>
        </a:xfrm>
      </xdr:grpSpPr>
      <xdr:sp macro="" textlink="">
        <xdr:nvSpPr>
          <xdr:cNvPr id="196" name="Rectangle 195">
            <a:extLst>
              <a:ext uri="{FF2B5EF4-FFF2-40B4-BE49-F238E27FC236}">
                <a16:creationId xmlns:a16="http://schemas.microsoft.com/office/drawing/2014/main" id="{E66DCE10-17D8-4349-A2F7-6CE888236C68}"/>
              </a:ext>
            </a:extLst>
          </xdr:cNvPr>
          <xdr:cNvSpPr/>
        </xdr:nvSpPr>
        <xdr:spPr>
          <a:xfrm>
            <a:off x="7962900" y="6438900"/>
            <a:ext cx="144780" cy="152400"/>
          </a:xfrm>
          <a:prstGeom prst="rect">
            <a:avLst/>
          </a:prstGeom>
          <a:solidFill>
            <a:schemeClr val="bg1"/>
          </a:solidFill>
          <a:ln w="222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cxnSp macro="">
        <xdr:nvCxnSpPr>
          <xdr:cNvPr id="197" name="Straight Connector 196">
            <a:extLst>
              <a:ext uri="{FF2B5EF4-FFF2-40B4-BE49-F238E27FC236}">
                <a16:creationId xmlns:a16="http://schemas.microsoft.com/office/drawing/2014/main" id="{E3F7D7C0-6A3C-4B7D-A226-CCD840E5465A}"/>
              </a:ext>
            </a:extLst>
          </xdr:cNvPr>
          <xdr:cNvCxnSpPr/>
        </xdr:nvCxnSpPr>
        <xdr:spPr>
          <a:xfrm flipV="1">
            <a:off x="7957185" y="6433185"/>
            <a:ext cx="148590" cy="16002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" name="Straight Connector 197">
            <a:extLst>
              <a:ext uri="{FF2B5EF4-FFF2-40B4-BE49-F238E27FC236}">
                <a16:creationId xmlns:a16="http://schemas.microsoft.com/office/drawing/2014/main" id="{924124AC-C75B-4CE3-A659-01EE55AF3D06}"/>
              </a:ext>
            </a:extLst>
          </xdr:cNvPr>
          <xdr:cNvCxnSpPr/>
        </xdr:nvCxnSpPr>
        <xdr:spPr>
          <a:xfrm flipH="1" flipV="1">
            <a:off x="7962901" y="6442710"/>
            <a:ext cx="150494" cy="14859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114300</xdr:colOff>
      <xdr:row>67</xdr:row>
      <xdr:rowOff>83820</xdr:rowOff>
    </xdr:from>
    <xdr:to>
      <xdr:col>18</xdr:col>
      <xdr:colOff>114300</xdr:colOff>
      <xdr:row>70</xdr:row>
      <xdr:rowOff>106680</xdr:rowOff>
    </xdr:to>
    <xdr:cxnSp macro="">
      <xdr:nvCxnSpPr>
        <xdr:cNvPr id="199" name="Straight Arrow Connector 198">
          <a:extLst>
            <a:ext uri="{FF2B5EF4-FFF2-40B4-BE49-F238E27FC236}">
              <a16:creationId xmlns:a16="http://schemas.microsoft.com/office/drawing/2014/main" id="{4B136122-D01F-43E1-9EC1-2A61094925DD}"/>
            </a:ext>
          </a:extLst>
        </xdr:cNvPr>
        <xdr:cNvCxnSpPr/>
      </xdr:nvCxnSpPr>
      <xdr:spPr>
        <a:xfrm>
          <a:off x="10180320" y="12039600"/>
          <a:ext cx="0" cy="54864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79604</xdr:colOff>
      <xdr:row>69</xdr:row>
      <xdr:rowOff>144780</xdr:rowOff>
    </xdr:from>
    <xdr:ext cx="1429156" cy="62344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9FE272FF-0691-4934-9509-3E91F02A1DC0}"/>
            </a:ext>
          </a:extLst>
        </xdr:cNvPr>
        <xdr:cNvSpPr txBox="1"/>
      </xdr:nvSpPr>
      <xdr:spPr>
        <a:xfrm>
          <a:off x="10541864" y="12451080"/>
          <a:ext cx="1429156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r>
            <a:rPr lang="en-US" sz="1100" b="0">
              <a:latin typeface="Arial" pitchFamily="34" charset="0"/>
              <a:cs typeface="Arial" pitchFamily="34" charset="0"/>
            </a:rPr>
            <a:t>SPI (REFCLK1)</a:t>
          </a:r>
        </a:p>
        <a:p>
          <a:pPr algn="l"/>
          <a:r>
            <a:rPr lang="en-US" sz="1100" b="0">
              <a:latin typeface="Arial" pitchFamily="34" charset="0"/>
              <a:cs typeface="Arial" pitchFamily="34" charset="0"/>
            </a:rPr>
            <a:t>ADC (REFCLK3)</a:t>
          </a:r>
        </a:p>
        <a:p>
          <a:pPr algn="l"/>
          <a:r>
            <a:rPr lang="en-US" sz="1100" b="0">
              <a:latin typeface="Arial" pitchFamily="34" charset="0"/>
              <a:cs typeface="Arial" pitchFamily="34" charset="0"/>
            </a:rPr>
            <a:t>SQI (REFCLK2</a:t>
          </a:r>
          <a:r>
            <a:rPr lang="en-US" sz="1200" b="1">
              <a:latin typeface="Arial" pitchFamily="34" charset="0"/>
              <a:cs typeface="Arial" pitchFamily="34" charset="0"/>
            </a:rPr>
            <a:t>)</a:t>
          </a:r>
        </a:p>
      </xdr:txBody>
    </xdr:sp>
    <xdr:clientData/>
  </xdr:oneCellAnchor>
  <xdr:oneCellAnchor>
    <xdr:from>
      <xdr:col>19</xdr:col>
      <xdr:colOff>341650</xdr:colOff>
      <xdr:row>66</xdr:row>
      <xdr:rowOff>129540</xdr:rowOff>
    </xdr:from>
    <xdr:ext cx="1146661" cy="269369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1850DA76-1EE9-4CCA-A473-24AB737F37B5}"/>
            </a:ext>
          </a:extLst>
        </xdr:cNvPr>
        <xdr:cNvSpPr txBox="1"/>
      </xdr:nvSpPr>
      <xdr:spPr>
        <a:xfrm>
          <a:off x="10803910" y="11910060"/>
          <a:ext cx="114666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REFCLKOx =</a:t>
          </a:r>
        </a:p>
      </xdr:txBody>
    </xdr:sp>
    <xdr:clientData/>
  </xdr:oneCellAnchor>
  <xdr:twoCellAnchor>
    <xdr:from>
      <xdr:col>19</xdr:col>
      <xdr:colOff>22860</xdr:colOff>
      <xdr:row>65</xdr:row>
      <xdr:rowOff>68580</xdr:rowOff>
    </xdr:from>
    <xdr:to>
      <xdr:col>19</xdr:col>
      <xdr:colOff>29528</xdr:colOff>
      <xdr:row>67</xdr:row>
      <xdr:rowOff>76200</xdr:rowOff>
    </xdr:to>
    <xdr:cxnSp macro="">
      <xdr:nvCxnSpPr>
        <xdr:cNvPr id="202" name="Straight Arrow Connector 201">
          <a:extLst>
            <a:ext uri="{FF2B5EF4-FFF2-40B4-BE49-F238E27FC236}">
              <a16:creationId xmlns:a16="http://schemas.microsoft.com/office/drawing/2014/main" id="{C8BE5081-6F3A-4549-84D6-802AEA1A1FB6}"/>
            </a:ext>
          </a:extLst>
        </xdr:cNvPr>
        <xdr:cNvCxnSpPr>
          <a:stCxn id="203" idx="2"/>
        </xdr:cNvCxnSpPr>
      </xdr:nvCxnSpPr>
      <xdr:spPr>
        <a:xfrm flipH="1">
          <a:off x="10485120" y="11673840"/>
          <a:ext cx="6668" cy="35814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89535</xdr:colOff>
      <xdr:row>62</xdr:row>
      <xdr:rowOff>22860</xdr:rowOff>
    </xdr:from>
    <xdr:to>
      <xdr:col>19</xdr:col>
      <xdr:colOff>365760</xdr:colOff>
      <xdr:row>65</xdr:row>
      <xdr:rowOff>68580</xdr:rowOff>
    </xdr:to>
    <xdr:sp macro="" textlink="">
      <xdr:nvSpPr>
        <xdr:cNvPr id="203" name="Rounded Rectangle 327">
          <a:extLst>
            <a:ext uri="{FF2B5EF4-FFF2-40B4-BE49-F238E27FC236}">
              <a16:creationId xmlns:a16="http://schemas.microsoft.com/office/drawing/2014/main" id="{AE45DF85-6345-425E-83F8-8DCFE304CE40}"/>
            </a:ext>
          </a:extLst>
        </xdr:cNvPr>
        <xdr:cNvSpPr/>
      </xdr:nvSpPr>
      <xdr:spPr>
        <a:xfrm>
          <a:off x="10155555" y="11102340"/>
          <a:ext cx="672465" cy="57150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REFCLK </a:t>
          </a:r>
          <a:r>
            <a:rPr lang="en-US" sz="1100" baseline="0">
              <a:latin typeface="Arial" pitchFamily="34" charset="0"/>
              <a:cs typeface="Arial" pitchFamily="34" charset="0"/>
            </a:rPr>
            <a:t>Out</a:t>
          </a:r>
          <a:r>
            <a:rPr lang="en-US" sz="1100">
              <a:latin typeface="Arial" pitchFamily="34" charset="0"/>
              <a:cs typeface="Arial" pitchFamily="34" charset="0"/>
            </a:rPr>
            <a:t> Enable</a:t>
          </a:r>
        </a:p>
      </xdr:txBody>
    </xdr:sp>
    <xdr:clientData/>
  </xdr:twoCellAnchor>
  <xdr:twoCellAnchor>
    <xdr:from>
      <xdr:col>15</xdr:col>
      <xdr:colOff>60960</xdr:colOff>
      <xdr:row>66</xdr:row>
      <xdr:rowOff>121920</xdr:rowOff>
    </xdr:from>
    <xdr:to>
      <xdr:col>16</xdr:col>
      <xdr:colOff>350520</xdr:colOff>
      <xdr:row>68</xdr:row>
      <xdr:rowOff>137160</xdr:rowOff>
    </xdr:to>
    <xdr:sp macro="" textlink="">
      <xdr:nvSpPr>
        <xdr:cNvPr id="204" name="Rounded Rectangle 335">
          <a:extLst>
            <a:ext uri="{FF2B5EF4-FFF2-40B4-BE49-F238E27FC236}">
              <a16:creationId xmlns:a16="http://schemas.microsoft.com/office/drawing/2014/main" id="{6F969C94-EE2B-45D3-86D0-94733BB7F811}"/>
            </a:ext>
          </a:extLst>
        </xdr:cNvPr>
        <xdr:cNvSpPr/>
      </xdr:nvSpPr>
      <xdr:spPr>
        <a:xfrm>
          <a:off x="8435340" y="11902440"/>
          <a:ext cx="685800" cy="36576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REFCLK</a:t>
          </a:r>
          <a:r>
            <a:rPr lang="en-US" sz="1100" baseline="0">
              <a:latin typeface="Arial" pitchFamily="34" charset="0"/>
              <a:cs typeface="Arial" pitchFamily="34" charset="0"/>
            </a:rPr>
            <a:t> </a:t>
          </a:r>
          <a:r>
            <a:rPr lang="en-US" sz="1100">
              <a:latin typeface="Arial" pitchFamily="34" charset="0"/>
              <a:cs typeface="Arial" pitchFamily="34" charset="0"/>
            </a:rPr>
            <a:t>Divider</a:t>
          </a:r>
        </a:p>
      </xdr:txBody>
    </xdr:sp>
    <xdr:clientData/>
  </xdr:twoCellAnchor>
  <xdr:oneCellAnchor>
    <xdr:from>
      <xdr:col>14</xdr:col>
      <xdr:colOff>502921</xdr:colOff>
      <xdr:row>58</xdr:row>
      <xdr:rowOff>144780</xdr:rowOff>
    </xdr:from>
    <xdr:ext cx="2156459" cy="4419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F3E5F9EF-FCA5-4BCF-94AC-51001D9ED8F2}"/>
            </a:ext>
          </a:extLst>
        </xdr:cNvPr>
        <xdr:cNvSpPr txBox="1"/>
      </xdr:nvSpPr>
      <xdr:spPr>
        <a:xfrm>
          <a:off x="8214361" y="10523220"/>
          <a:ext cx="2156459" cy="441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Enter: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 </a:t>
          </a:r>
          <a:r>
            <a:rPr lang="en-US" sz="1100" b="1">
              <a:latin typeface="Arial" pitchFamily="34" charset="0"/>
              <a:cs typeface="Arial" pitchFamily="34" charset="0"/>
            </a:rPr>
            <a:t>trimValue (0 to 511)</a:t>
          </a:r>
        </a:p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            refOscDiv (0 to 32767)</a:t>
          </a:r>
        </a:p>
      </xdr:txBody>
    </xdr:sp>
    <xdr:clientData/>
  </xdr:oneCellAnchor>
  <xdr:twoCellAnchor>
    <xdr:from>
      <xdr:col>16</xdr:col>
      <xdr:colOff>365760</xdr:colOff>
      <xdr:row>61</xdr:row>
      <xdr:rowOff>60960</xdr:rowOff>
    </xdr:from>
    <xdr:to>
      <xdr:col>16</xdr:col>
      <xdr:colOff>521971</xdr:colOff>
      <xdr:row>63</xdr:row>
      <xdr:rowOff>114300</xdr:rowOff>
    </xdr:to>
    <xdr:cxnSp macro="">
      <xdr:nvCxnSpPr>
        <xdr:cNvPr id="206" name="Straight Arrow Connector 205">
          <a:extLst>
            <a:ext uri="{FF2B5EF4-FFF2-40B4-BE49-F238E27FC236}">
              <a16:creationId xmlns:a16="http://schemas.microsoft.com/office/drawing/2014/main" id="{1C8B68C0-BCA1-4E83-8A9B-9988CE27A176}"/>
            </a:ext>
          </a:extLst>
        </xdr:cNvPr>
        <xdr:cNvCxnSpPr>
          <a:stCxn id="205" idx="2"/>
        </xdr:cNvCxnSpPr>
      </xdr:nvCxnSpPr>
      <xdr:spPr>
        <a:xfrm flipH="1">
          <a:off x="9136380" y="10965180"/>
          <a:ext cx="156211" cy="40386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198120</xdr:colOff>
      <xdr:row>59</xdr:row>
      <xdr:rowOff>99060</xdr:rowOff>
    </xdr:from>
    <xdr:to>
      <xdr:col>25</xdr:col>
      <xdr:colOff>167473</xdr:colOff>
      <xdr:row>63</xdr:row>
      <xdr:rowOff>160020</xdr:rowOff>
    </xdr:to>
    <xdr:grpSp>
      <xdr:nvGrpSpPr>
        <xdr:cNvPr id="207" name="Group 206">
          <a:extLst>
            <a:ext uri="{FF2B5EF4-FFF2-40B4-BE49-F238E27FC236}">
              <a16:creationId xmlns:a16="http://schemas.microsoft.com/office/drawing/2014/main" id="{2609816C-D7D1-4E0D-8508-67A2D3DD1F09}"/>
            </a:ext>
          </a:extLst>
        </xdr:cNvPr>
        <xdr:cNvGrpSpPr/>
      </xdr:nvGrpSpPr>
      <xdr:grpSpPr>
        <a:xfrm>
          <a:off x="11155680" y="10652760"/>
          <a:ext cx="2773513" cy="762000"/>
          <a:chOff x="9898380" y="10043160"/>
          <a:chExt cx="2727793" cy="762000"/>
        </a:xfrm>
      </xdr:grpSpPr>
      <xdr:sp macro="" textlink="">
        <xdr:nvSpPr>
          <xdr:cNvPr id="208" name="Rectangle 207">
            <a:extLst>
              <a:ext uri="{FF2B5EF4-FFF2-40B4-BE49-F238E27FC236}">
                <a16:creationId xmlns:a16="http://schemas.microsoft.com/office/drawing/2014/main" id="{85A56ACC-65CA-4CAA-90C2-C3F7EB1B0FD8}"/>
              </a:ext>
            </a:extLst>
          </xdr:cNvPr>
          <xdr:cNvSpPr/>
        </xdr:nvSpPr>
        <xdr:spPr>
          <a:xfrm>
            <a:off x="9898380" y="10043160"/>
            <a:ext cx="2705100" cy="762000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grpSp>
        <xdr:nvGrpSpPr>
          <xdr:cNvPr id="209" name="Group 208">
            <a:extLst>
              <a:ext uri="{FF2B5EF4-FFF2-40B4-BE49-F238E27FC236}">
                <a16:creationId xmlns:a16="http://schemas.microsoft.com/office/drawing/2014/main" id="{41ACDC4C-DC21-4560-A1C9-616FAE700440}"/>
              </a:ext>
            </a:extLst>
          </xdr:cNvPr>
          <xdr:cNvGrpSpPr/>
        </xdr:nvGrpSpPr>
        <xdr:grpSpPr>
          <a:xfrm>
            <a:off x="9915868" y="10043160"/>
            <a:ext cx="2710305" cy="751204"/>
            <a:chOff x="10159708" y="10142220"/>
            <a:chExt cx="2710305" cy="751204"/>
          </a:xfrm>
        </xdr:grpSpPr>
        <xdr:sp macro="" textlink="">
          <xdr:nvSpPr>
            <xdr:cNvPr id="210" name="TextBox 209">
              <a:extLst>
                <a:ext uri="{FF2B5EF4-FFF2-40B4-BE49-F238E27FC236}">
                  <a16:creationId xmlns:a16="http://schemas.microsoft.com/office/drawing/2014/main" id="{ED2951DB-FF18-4423-9E62-13EFEBB310B7}"/>
                </a:ext>
              </a:extLst>
            </xdr:cNvPr>
            <xdr:cNvSpPr txBox="1"/>
          </xdr:nvSpPr>
          <xdr:spPr>
            <a:xfrm>
              <a:off x="10159708" y="10302240"/>
              <a:ext cx="895823" cy="269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rtlCol="0" anchor="t">
              <a:spAutoFit/>
            </a:bodyPr>
            <a:lstStyle/>
            <a:p>
              <a:pPr algn="ctr"/>
              <a:r>
                <a:rPr lang="en-US" sz="1200" b="0">
                  <a:latin typeface="Arial" pitchFamily="34" charset="0"/>
                  <a:cs typeface="Arial" pitchFamily="34" charset="0"/>
                </a:rPr>
                <a:t>F</a:t>
              </a:r>
              <a:r>
                <a:rPr lang="en-US" sz="1200" b="0" baseline="-25000">
                  <a:latin typeface="Arial" pitchFamily="34" charset="0"/>
                  <a:cs typeface="Arial" pitchFamily="34" charset="0"/>
                </a:rPr>
                <a:t>REFCLKO</a:t>
              </a:r>
              <a:r>
                <a:rPr lang="en-US" sz="1200" b="0" baseline="0">
                  <a:latin typeface="Arial" pitchFamily="34" charset="0"/>
                  <a:cs typeface="Arial" pitchFamily="34" charset="0"/>
                </a:rPr>
                <a:t> =</a:t>
              </a:r>
              <a:endParaRPr lang="en-US" sz="1200" b="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211" name="TextBox 210">
              <a:extLst>
                <a:ext uri="{FF2B5EF4-FFF2-40B4-BE49-F238E27FC236}">
                  <a16:creationId xmlns:a16="http://schemas.microsoft.com/office/drawing/2014/main" id="{FF4EE88B-C50D-47C0-9E20-C2AE25278BCB}"/>
                </a:ext>
              </a:extLst>
            </xdr:cNvPr>
            <xdr:cNvSpPr txBox="1"/>
          </xdr:nvSpPr>
          <xdr:spPr>
            <a:xfrm>
              <a:off x="11548869" y="10142220"/>
              <a:ext cx="586379" cy="269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rtlCol="0" anchor="t">
              <a:spAutoFit/>
            </a:bodyPr>
            <a:lstStyle/>
            <a:p>
              <a:pPr algn="ctr"/>
              <a:r>
                <a:rPr lang="en-US" sz="1200" b="0">
                  <a:latin typeface="Arial" pitchFamily="34" charset="0"/>
                  <a:cs typeface="Arial" pitchFamily="34" charset="0"/>
                </a:rPr>
                <a:t>F</a:t>
              </a:r>
              <a:r>
                <a:rPr lang="en-US" sz="1200" b="0" baseline="-25000">
                  <a:latin typeface="Arial" pitchFamily="34" charset="0"/>
                  <a:cs typeface="Arial" pitchFamily="34" charset="0"/>
                </a:rPr>
                <a:t>REFIN</a:t>
              </a:r>
            </a:p>
          </xdr:txBody>
        </xdr:sp>
        <xdr:sp macro="" textlink="">
          <xdr:nvSpPr>
            <xdr:cNvPr id="212" name="TextBox 211">
              <a:extLst>
                <a:ext uri="{FF2B5EF4-FFF2-40B4-BE49-F238E27FC236}">
                  <a16:creationId xmlns:a16="http://schemas.microsoft.com/office/drawing/2014/main" id="{99B3FC7E-3875-4DD8-930C-DB50AC5BCFB8}"/>
                </a:ext>
              </a:extLst>
            </xdr:cNvPr>
            <xdr:cNvSpPr txBox="1"/>
          </xdr:nvSpPr>
          <xdr:spPr>
            <a:xfrm>
              <a:off x="10834864" y="10530840"/>
              <a:ext cx="1206676" cy="269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rtlCol="0" anchor="t">
              <a:spAutoFit/>
            </a:bodyPr>
            <a:lstStyle/>
            <a:p>
              <a:pPr algn="ctr"/>
              <a:r>
                <a:rPr lang="en-US" sz="1200" b="0">
                  <a:latin typeface="Arial" pitchFamily="34" charset="0"/>
                  <a:cs typeface="Arial" pitchFamily="34" charset="0"/>
                </a:rPr>
                <a:t>2</a:t>
              </a:r>
              <a:r>
                <a:rPr lang="en-US" sz="1200" b="0" baseline="0"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1200" b="0"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1200" b="0" baseline="0">
                  <a:latin typeface="Arial" pitchFamily="34" charset="0"/>
                  <a:cs typeface="Arial" pitchFamily="34" charset="0"/>
                </a:rPr>
                <a:t> refOscDiv</a:t>
              </a:r>
              <a:r>
                <a:rPr lang="en-US" sz="1200" b="0">
                  <a:latin typeface="Arial" pitchFamily="34" charset="0"/>
                  <a:cs typeface="Arial" pitchFamily="34" charset="0"/>
                </a:rPr>
                <a:t> +</a:t>
              </a:r>
              <a:endParaRPr lang="en-US" sz="1200" b="0" baseline="-250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213" name="TextBox 212">
              <a:extLst>
                <a:ext uri="{FF2B5EF4-FFF2-40B4-BE49-F238E27FC236}">
                  <a16:creationId xmlns:a16="http://schemas.microsoft.com/office/drawing/2014/main" id="{3060E701-C059-4F5F-9255-BE673175C504}"/>
                </a:ext>
              </a:extLst>
            </xdr:cNvPr>
            <xdr:cNvSpPr txBox="1"/>
          </xdr:nvSpPr>
          <xdr:spPr>
            <a:xfrm>
              <a:off x="10949615" y="10378440"/>
              <a:ext cx="1920398" cy="5052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rtlCol="0" anchor="t">
              <a:spAutoFit/>
            </a:bodyPr>
            <a:lstStyle/>
            <a:p>
              <a:pPr algn="ctr"/>
              <a:r>
                <a:rPr lang="en-US" sz="2800" b="0">
                  <a:latin typeface="Arial" pitchFamily="34" charset="0"/>
                  <a:cs typeface="Arial" pitchFamily="34" charset="0"/>
                </a:rPr>
                <a:t>(              </a:t>
              </a:r>
              <a:r>
                <a:rPr lang="en-US" sz="2800" b="0" baseline="0"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2800" b="0">
                  <a:latin typeface="Arial" pitchFamily="34" charset="0"/>
                  <a:cs typeface="Arial" pitchFamily="34" charset="0"/>
                </a:rPr>
                <a:t>)</a:t>
              </a:r>
            </a:p>
          </xdr:txBody>
        </xdr:sp>
        <xdr:cxnSp macro="">
          <xdr:nvCxnSpPr>
            <xdr:cNvPr id="214" name="Straight Arrow Connector 213">
              <a:extLst>
                <a:ext uri="{FF2B5EF4-FFF2-40B4-BE49-F238E27FC236}">
                  <a16:creationId xmlns:a16="http://schemas.microsoft.com/office/drawing/2014/main" id="{2CAD4B46-9ED9-4031-814E-A1562FBB97BA}"/>
                </a:ext>
              </a:extLst>
            </xdr:cNvPr>
            <xdr:cNvCxnSpPr/>
          </xdr:nvCxnSpPr>
          <xdr:spPr>
            <a:xfrm>
              <a:off x="11010900" y="10439400"/>
              <a:ext cx="1729740" cy="0"/>
            </a:xfrm>
            <a:prstGeom prst="straightConnector1">
              <a:avLst/>
            </a:prstGeom>
            <a:ln w="25400">
              <a:solidFill>
                <a:schemeClr val="tx1"/>
              </a:solidFill>
              <a:headEnd w="med" len="sm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15" name="TextBox 214">
              <a:extLst>
                <a:ext uri="{FF2B5EF4-FFF2-40B4-BE49-F238E27FC236}">
                  <a16:creationId xmlns:a16="http://schemas.microsoft.com/office/drawing/2014/main" id="{34B9632B-1366-4BB0-9094-43F67C736AC4}"/>
                </a:ext>
              </a:extLst>
            </xdr:cNvPr>
            <xdr:cNvSpPr txBox="1"/>
          </xdr:nvSpPr>
          <xdr:spPr>
            <a:xfrm>
              <a:off x="11888730" y="10447020"/>
              <a:ext cx="834652" cy="4464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rtlCol="0" anchor="t">
              <a:spAutoFit/>
            </a:bodyPr>
            <a:lstStyle/>
            <a:p>
              <a:pPr algn="ctr"/>
              <a:r>
                <a:rPr lang="en-US" sz="1200" b="0">
                  <a:latin typeface="Arial" pitchFamily="34" charset="0"/>
                  <a:cs typeface="Arial" pitchFamily="34" charset="0"/>
                </a:rPr>
                <a:t>trimValue</a:t>
              </a:r>
            </a:p>
            <a:p>
              <a:pPr algn="ctr"/>
              <a:r>
                <a:rPr lang="en-US" sz="1200" b="0">
                  <a:latin typeface="Arial" pitchFamily="34" charset="0"/>
                  <a:cs typeface="Arial" pitchFamily="34" charset="0"/>
                </a:rPr>
                <a:t>512</a:t>
              </a:r>
            </a:p>
          </xdr:txBody>
        </xdr:sp>
        <xdr:cxnSp macro="">
          <xdr:nvCxnSpPr>
            <xdr:cNvPr id="216" name="Straight Arrow Connector 215">
              <a:extLst>
                <a:ext uri="{FF2B5EF4-FFF2-40B4-BE49-F238E27FC236}">
                  <a16:creationId xmlns:a16="http://schemas.microsoft.com/office/drawing/2014/main" id="{4E83D609-4AD7-4136-A1CC-7C5FE1233D40}"/>
                </a:ext>
              </a:extLst>
            </xdr:cNvPr>
            <xdr:cNvCxnSpPr/>
          </xdr:nvCxnSpPr>
          <xdr:spPr>
            <a:xfrm>
              <a:off x="11971020" y="10668000"/>
              <a:ext cx="662940" cy="0"/>
            </a:xfrm>
            <a:prstGeom prst="straightConnector1">
              <a:avLst/>
            </a:prstGeom>
            <a:ln w="25400">
              <a:solidFill>
                <a:schemeClr val="tx1"/>
              </a:solidFill>
              <a:headEnd w="med" len="sm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22</xdr:col>
      <xdr:colOff>373381</xdr:colOff>
      <xdr:row>64</xdr:row>
      <xdr:rowOff>76200</xdr:rowOff>
    </xdr:from>
    <xdr:to>
      <xdr:col>22</xdr:col>
      <xdr:colOff>563880</xdr:colOff>
      <xdr:row>66</xdr:row>
      <xdr:rowOff>112123</xdr:rowOff>
    </xdr:to>
    <xdr:cxnSp macro="">
      <xdr:nvCxnSpPr>
        <xdr:cNvPr id="217" name="Straight Arrow Connector 216">
          <a:extLst>
            <a:ext uri="{FF2B5EF4-FFF2-40B4-BE49-F238E27FC236}">
              <a16:creationId xmlns:a16="http://schemas.microsoft.com/office/drawing/2014/main" id="{2644E85C-EA8B-4A16-9C87-00A5E16EA11D}"/>
            </a:ext>
          </a:extLst>
        </xdr:cNvPr>
        <xdr:cNvCxnSpPr/>
      </xdr:nvCxnSpPr>
      <xdr:spPr>
        <a:xfrm flipH="1">
          <a:off x="12260581" y="11506200"/>
          <a:ext cx="190499" cy="386443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213361</xdr:colOff>
      <xdr:row>71</xdr:row>
      <xdr:rowOff>137160</xdr:rowOff>
    </xdr:from>
    <xdr:ext cx="899159" cy="4419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D5685C6C-476F-4CD7-A166-6A1E1B397442}"/>
            </a:ext>
          </a:extLst>
        </xdr:cNvPr>
        <xdr:cNvSpPr txBox="1"/>
      </xdr:nvSpPr>
      <xdr:spPr>
        <a:xfrm>
          <a:off x="4831081" y="12793980"/>
          <a:ext cx="899159" cy="441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r>
            <a:rPr lang="en-US" sz="1100" b="0">
              <a:latin typeface="Arial" pitchFamily="34" charset="0"/>
              <a:cs typeface="Arial" pitchFamily="34" charset="0"/>
            </a:rPr>
            <a:t>3 REFCLK inputs</a:t>
          </a:r>
        </a:p>
      </xdr:txBody>
    </xdr:sp>
    <xdr:clientData/>
  </xdr:oneCellAnchor>
  <xdr:twoCellAnchor>
    <xdr:from>
      <xdr:col>10</xdr:col>
      <xdr:colOff>186692</xdr:colOff>
      <xdr:row>73</xdr:row>
      <xdr:rowOff>68580</xdr:rowOff>
    </xdr:from>
    <xdr:to>
      <xdr:col>10</xdr:col>
      <xdr:colOff>434340</xdr:colOff>
      <xdr:row>74</xdr:row>
      <xdr:rowOff>76200</xdr:rowOff>
    </xdr:to>
    <xdr:cxnSp macro="">
      <xdr:nvCxnSpPr>
        <xdr:cNvPr id="219" name="Straight Arrow Connector 218">
          <a:extLst>
            <a:ext uri="{FF2B5EF4-FFF2-40B4-BE49-F238E27FC236}">
              <a16:creationId xmlns:a16="http://schemas.microsoft.com/office/drawing/2014/main" id="{763E8459-58FF-41A9-9E71-ACCA4D7F611D}"/>
            </a:ext>
          </a:extLst>
        </xdr:cNvPr>
        <xdr:cNvCxnSpPr/>
      </xdr:nvCxnSpPr>
      <xdr:spPr>
        <a:xfrm>
          <a:off x="5436872" y="13075920"/>
          <a:ext cx="247648" cy="18288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22</xdr:col>
      <xdr:colOff>38100</xdr:colOff>
      <xdr:row>69</xdr:row>
      <xdr:rowOff>15240</xdr:rowOff>
    </xdr:from>
    <xdr:ext cx="1432560" cy="2514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CD84454B-DE06-4D32-B60B-C51A4375952A}"/>
            </a:ext>
          </a:extLst>
        </xdr:cNvPr>
        <xdr:cNvSpPr txBox="1"/>
      </xdr:nvSpPr>
      <xdr:spPr>
        <a:xfrm>
          <a:off x="11925300" y="12321540"/>
          <a:ext cx="143256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r>
            <a:rPr lang="en-US" sz="1100" b="0">
              <a:latin typeface="Arial" pitchFamily="34" charset="0"/>
              <a:cs typeface="Arial" pitchFamily="34" charset="0"/>
            </a:rPr>
            <a:t>3 REFCLK outputs</a:t>
          </a:r>
        </a:p>
      </xdr:txBody>
    </xdr:sp>
    <xdr:clientData/>
  </xdr:oneCellAnchor>
  <xdr:twoCellAnchor>
    <xdr:from>
      <xdr:col>21</xdr:col>
      <xdr:colOff>289559</xdr:colOff>
      <xdr:row>68</xdr:row>
      <xdr:rowOff>38100</xdr:rowOff>
    </xdr:from>
    <xdr:to>
      <xdr:col>22</xdr:col>
      <xdr:colOff>53340</xdr:colOff>
      <xdr:row>69</xdr:row>
      <xdr:rowOff>53340</xdr:rowOff>
    </xdr:to>
    <xdr:cxnSp macro="">
      <xdr:nvCxnSpPr>
        <xdr:cNvPr id="221" name="Straight Arrow Connector 220">
          <a:extLst>
            <a:ext uri="{FF2B5EF4-FFF2-40B4-BE49-F238E27FC236}">
              <a16:creationId xmlns:a16="http://schemas.microsoft.com/office/drawing/2014/main" id="{EA76B8EE-330D-486B-8D30-A6C8D1FFBD49}"/>
            </a:ext>
          </a:extLst>
        </xdr:cNvPr>
        <xdr:cNvCxnSpPr/>
      </xdr:nvCxnSpPr>
      <xdr:spPr>
        <a:xfrm flipH="1" flipV="1">
          <a:off x="11711939" y="12169140"/>
          <a:ext cx="228601" cy="19050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388620</xdr:colOff>
      <xdr:row>22</xdr:row>
      <xdr:rowOff>99060</xdr:rowOff>
    </xdr:from>
    <xdr:ext cx="1562099" cy="57912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162C8E7E-EC50-4F7C-9816-9CA04FF4F763}"/>
            </a:ext>
          </a:extLst>
        </xdr:cNvPr>
        <xdr:cNvSpPr txBox="1"/>
      </xdr:nvSpPr>
      <xdr:spPr>
        <a:xfrm>
          <a:off x="11346180" y="4145280"/>
          <a:ext cx="1562099" cy="57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r>
            <a:rPr lang="en-US" sz="1100" b="0">
              <a:latin typeface="Arial" pitchFamily="34" charset="0"/>
              <a:cs typeface="Arial" pitchFamily="34" charset="0"/>
            </a:rPr>
            <a:t>Each peripheral clock (except PBCLK1) can be disabled.</a:t>
          </a:r>
        </a:p>
      </xdr:txBody>
    </xdr:sp>
    <xdr:clientData/>
  </xdr:oneCellAnchor>
  <xdr:twoCellAnchor>
    <xdr:from>
      <xdr:col>20</xdr:col>
      <xdr:colOff>259080</xdr:colOff>
      <xdr:row>25</xdr:row>
      <xdr:rowOff>38100</xdr:rowOff>
    </xdr:from>
    <xdr:to>
      <xdr:col>20</xdr:col>
      <xdr:colOff>426722</xdr:colOff>
      <xdr:row>26</xdr:row>
      <xdr:rowOff>129540</xdr:rowOff>
    </xdr:to>
    <xdr:cxnSp macro="">
      <xdr:nvCxnSpPr>
        <xdr:cNvPr id="223" name="Straight Arrow Connector 222">
          <a:extLst>
            <a:ext uri="{FF2B5EF4-FFF2-40B4-BE49-F238E27FC236}">
              <a16:creationId xmlns:a16="http://schemas.microsoft.com/office/drawing/2014/main" id="{79100836-0A01-4B0C-BF27-B35E1658C85B}"/>
            </a:ext>
          </a:extLst>
        </xdr:cNvPr>
        <xdr:cNvCxnSpPr/>
      </xdr:nvCxnSpPr>
      <xdr:spPr>
        <a:xfrm flipH="1">
          <a:off x="11216640" y="4610100"/>
          <a:ext cx="167642" cy="26670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38100</xdr:colOff>
      <xdr:row>41</xdr:row>
      <xdr:rowOff>0</xdr:rowOff>
    </xdr:from>
    <xdr:ext cx="1257300" cy="41910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DF0B9C80-1D45-44A0-852D-E08C99F06C92}"/>
            </a:ext>
          </a:extLst>
        </xdr:cNvPr>
        <xdr:cNvSpPr txBox="1"/>
      </xdr:nvSpPr>
      <xdr:spPr>
        <a:xfrm>
          <a:off x="12580620" y="7376160"/>
          <a:ext cx="1257300" cy="41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r>
            <a:rPr lang="en-US" sz="1100" b="0">
              <a:latin typeface="Arial" pitchFamily="34" charset="0"/>
              <a:cs typeface="Arial" pitchFamily="34" charset="0"/>
            </a:rPr>
            <a:t>PBCLK7 is the clock for the core</a:t>
          </a:r>
        </a:p>
      </xdr:txBody>
    </xdr:sp>
    <xdr:clientData/>
  </xdr:oneCellAnchor>
  <xdr:twoCellAnchor>
    <xdr:from>
      <xdr:col>22</xdr:col>
      <xdr:colOff>441960</xdr:colOff>
      <xdr:row>41</xdr:row>
      <xdr:rowOff>129540</xdr:rowOff>
    </xdr:from>
    <xdr:to>
      <xdr:col>23</xdr:col>
      <xdr:colOff>53340</xdr:colOff>
      <xdr:row>42</xdr:row>
      <xdr:rowOff>83820</xdr:rowOff>
    </xdr:to>
    <xdr:cxnSp macro="">
      <xdr:nvCxnSpPr>
        <xdr:cNvPr id="225" name="Straight Arrow Connector 224">
          <a:extLst>
            <a:ext uri="{FF2B5EF4-FFF2-40B4-BE49-F238E27FC236}">
              <a16:creationId xmlns:a16="http://schemas.microsoft.com/office/drawing/2014/main" id="{8D362475-08FC-4150-8BCF-A74DDD1265C0}"/>
            </a:ext>
          </a:extLst>
        </xdr:cNvPr>
        <xdr:cNvCxnSpPr/>
      </xdr:nvCxnSpPr>
      <xdr:spPr>
        <a:xfrm flipH="1">
          <a:off x="12329160" y="7505700"/>
          <a:ext cx="266700" cy="12954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401955</xdr:colOff>
      <xdr:row>21</xdr:row>
      <xdr:rowOff>173355</xdr:rowOff>
    </xdr:from>
    <xdr:to>
      <xdr:col>6</xdr:col>
      <xdr:colOff>85725</xdr:colOff>
      <xdr:row>23</xdr:row>
      <xdr:rowOff>5715</xdr:rowOff>
    </xdr:to>
    <xdr:grpSp>
      <xdr:nvGrpSpPr>
        <xdr:cNvPr id="226" name="Group 225">
          <a:extLst>
            <a:ext uri="{FF2B5EF4-FFF2-40B4-BE49-F238E27FC236}">
              <a16:creationId xmlns:a16="http://schemas.microsoft.com/office/drawing/2014/main" id="{F7D36798-0CC9-474F-AA15-9DA0E137BA8F}"/>
            </a:ext>
          </a:extLst>
        </xdr:cNvPr>
        <xdr:cNvGrpSpPr/>
      </xdr:nvGrpSpPr>
      <xdr:grpSpPr>
        <a:xfrm>
          <a:off x="2352675" y="4044315"/>
          <a:ext cx="270510" cy="182880"/>
          <a:chOff x="2346960" y="4044315"/>
          <a:chExt cx="270510" cy="182880"/>
        </a:xfrm>
      </xdr:grpSpPr>
      <xdr:sp macro="" textlink="">
        <xdr:nvSpPr>
          <xdr:cNvPr id="227" name="Arc 226">
            <a:extLst>
              <a:ext uri="{FF2B5EF4-FFF2-40B4-BE49-F238E27FC236}">
                <a16:creationId xmlns:a16="http://schemas.microsoft.com/office/drawing/2014/main" id="{231652DE-54AD-4B68-B1CB-E8836DA8A8A9}"/>
              </a:ext>
            </a:extLst>
          </xdr:cNvPr>
          <xdr:cNvSpPr/>
        </xdr:nvSpPr>
        <xdr:spPr>
          <a:xfrm>
            <a:off x="2367915" y="4046220"/>
            <a:ext cx="114300" cy="180975"/>
          </a:xfrm>
          <a:prstGeom prst="arc">
            <a:avLst>
              <a:gd name="adj1" fmla="val 10852083"/>
              <a:gd name="adj2" fmla="val 0"/>
            </a:avLst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8" name="Arc 227">
            <a:extLst>
              <a:ext uri="{FF2B5EF4-FFF2-40B4-BE49-F238E27FC236}">
                <a16:creationId xmlns:a16="http://schemas.microsoft.com/office/drawing/2014/main" id="{4B561EBA-9163-4611-9554-DDA3FC192912}"/>
              </a:ext>
            </a:extLst>
          </xdr:cNvPr>
          <xdr:cNvSpPr/>
        </xdr:nvSpPr>
        <xdr:spPr>
          <a:xfrm flipV="1">
            <a:off x="2482215" y="4044315"/>
            <a:ext cx="114300" cy="179070"/>
          </a:xfrm>
          <a:prstGeom prst="arc">
            <a:avLst>
              <a:gd name="adj1" fmla="val 10852083"/>
              <a:gd name="adj2" fmla="val 0"/>
            </a:avLst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cxnSp macro="">
        <xdr:nvCxnSpPr>
          <xdr:cNvPr id="229" name="Straight Arrow Connector 228">
            <a:extLst>
              <a:ext uri="{FF2B5EF4-FFF2-40B4-BE49-F238E27FC236}">
                <a16:creationId xmlns:a16="http://schemas.microsoft.com/office/drawing/2014/main" id="{535770E3-987F-47C3-9EE9-DE30FFD858C3}"/>
              </a:ext>
            </a:extLst>
          </xdr:cNvPr>
          <xdr:cNvCxnSpPr/>
        </xdr:nvCxnSpPr>
        <xdr:spPr>
          <a:xfrm>
            <a:off x="2346960" y="4139565"/>
            <a:ext cx="270510" cy="0"/>
          </a:xfrm>
          <a:prstGeom prst="straightConnector1">
            <a:avLst/>
          </a:prstGeom>
          <a:ln w="3175">
            <a:solidFill>
              <a:schemeClr val="tx1"/>
            </a:solidFill>
            <a:prstDash val="dash"/>
            <a:headEnd w="med" len="sm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407670</xdr:colOff>
      <xdr:row>21</xdr:row>
      <xdr:rowOff>9525</xdr:rowOff>
    </xdr:from>
    <xdr:to>
      <xdr:col>6</xdr:col>
      <xdr:colOff>329565</xdr:colOff>
      <xdr:row>21</xdr:row>
      <xdr:rowOff>152400</xdr:rowOff>
    </xdr:to>
    <xdr:grpSp>
      <xdr:nvGrpSpPr>
        <xdr:cNvPr id="230" name="Group 229">
          <a:extLst>
            <a:ext uri="{FF2B5EF4-FFF2-40B4-BE49-F238E27FC236}">
              <a16:creationId xmlns:a16="http://schemas.microsoft.com/office/drawing/2014/main" id="{1777E82E-9E8F-41F5-87CF-D7B373E3B97D}"/>
            </a:ext>
          </a:extLst>
        </xdr:cNvPr>
        <xdr:cNvGrpSpPr/>
      </xdr:nvGrpSpPr>
      <xdr:grpSpPr>
        <a:xfrm>
          <a:off x="2358390" y="3880485"/>
          <a:ext cx="508635" cy="142875"/>
          <a:chOff x="2358390" y="3880485"/>
          <a:chExt cx="508635" cy="142875"/>
        </a:xfrm>
      </xdr:grpSpPr>
      <xdr:grpSp>
        <xdr:nvGrpSpPr>
          <xdr:cNvPr id="231" name="Group 230">
            <a:extLst>
              <a:ext uri="{FF2B5EF4-FFF2-40B4-BE49-F238E27FC236}">
                <a16:creationId xmlns:a16="http://schemas.microsoft.com/office/drawing/2014/main" id="{2910F0F8-0CC2-4114-9F16-770B7A4FB243}"/>
              </a:ext>
            </a:extLst>
          </xdr:cNvPr>
          <xdr:cNvGrpSpPr/>
        </xdr:nvGrpSpPr>
        <xdr:grpSpPr>
          <a:xfrm>
            <a:off x="2358390" y="3880485"/>
            <a:ext cx="506730" cy="142875"/>
            <a:chOff x="2346960" y="3844290"/>
            <a:chExt cx="506730" cy="142875"/>
          </a:xfrm>
        </xdr:grpSpPr>
        <xdr:cxnSp macro="">
          <xdr:nvCxnSpPr>
            <xdr:cNvPr id="233" name="Straight Arrow Connector 232">
              <a:extLst>
                <a:ext uri="{FF2B5EF4-FFF2-40B4-BE49-F238E27FC236}">
                  <a16:creationId xmlns:a16="http://schemas.microsoft.com/office/drawing/2014/main" id="{587BEAA7-0D35-4633-BF07-A74175560E23}"/>
                </a:ext>
              </a:extLst>
            </xdr:cNvPr>
            <xdr:cNvCxnSpPr/>
          </xdr:nvCxnSpPr>
          <xdr:spPr>
            <a:xfrm>
              <a:off x="2352675" y="3846195"/>
              <a:ext cx="1905" cy="140970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w="med" len="sm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4" name="Straight Arrow Connector 233">
              <a:extLst>
                <a:ext uri="{FF2B5EF4-FFF2-40B4-BE49-F238E27FC236}">
                  <a16:creationId xmlns:a16="http://schemas.microsoft.com/office/drawing/2014/main" id="{AED24FE3-5620-4D64-8309-7F325827A59B}"/>
                </a:ext>
              </a:extLst>
            </xdr:cNvPr>
            <xdr:cNvCxnSpPr/>
          </xdr:nvCxnSpPr>
          <xdr:spPr>
            <a:xfrm>
              <a:off x="2346960" y="3853815"/>
              <a:ext cx="133350" cy="1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w="med" len="sm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5" name="Straight Arrow Connector 234">
              <a:extLst>
                <a:ext uri="{FF2B5EF4-FFF2-40B4-BE49-F238E27FC236}">
                  <a16:creationId xmlns:a16="http://schemas.microsoft.com/office/drawing/2014/main" id="{4DB469A2-AD06-4A68-89B5-023A003C0216}"/>
                </a:ext>
              </a:extLst>
            </xdr:cNvPr>
            <xdr:cNvCxnSpPr/>
          </xdr:nvCxnSpPr>
          <xdr:spPr>
            <a:xfrm>
              <a:off x="2474595" y="3846195"/>
              <a:ext cx="1905" cy="140970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w="med" len="sm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6" name="Straight Arrow Connector 235">
              <a:extLst>
                <a:ext uri="{FF2B5EF4-FFF2-40B4-BE49-F238E27FC236}">
                  <a16:creationId xmlns:a16="http://schemas.microsoft.com/office/drawing/2014/main" id="{D79C9F85-8DF2-4358-8059-EF26293BFFBC}"/>
                </a:ext>
              </a:extLst>
            </xdr:cNvPr>
            <xdr:cNvCxnSpPr/>
          </xdr:nvCxnSpPr>
          <xdr:spPr>
            <a:xfrm>
              <a:off x="2470785" y="3981450"/>
              <a:ext cx="133350" cy="1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w="med" len="sm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7" name="Straight Arrow Connector 236">
              <a:extLst>
                <a:ext uri="{FF2B5EF4-FFF2-40B4-BE49-F238E27FC236}">
                  <a16:creationId xmlns:a16="http://schemas.microsoft.com/office/drawing/2014/main" id="{BF43C9D8-8B53-4E65-AEA0-DE6234695500}"/>
                </a:ext>
              </a:extLst>
            </xdr:cNvPr>
            <xdr:cNvCxnSpPr/>
          </xdr:nvCxnSpPr>
          <xdr:spPr>
            <a:xfrm>
              <a:off x="2594610" y="3844290"/>
              <a:ext cx="1905" cy="140970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w="med" len="sm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8" name="Straight Arrow Connector 237">
              <a:extLst>
                <a:ext uri="{FF2B5EF4-FFF2-40B4-BE49-F238E27FC236}">
                  <a16:creationId xmlns:a16="http://schemas.microsoft.com/office/drawing/2014/main" id="{DE61B388-816D-41A9-A8EC-308171723971}"/>
                </a:ext>
              </a:extLst>
            </xdr:cNvPr>
            <xdr:cNvCxnSpPr/>
          </xdr:nvCxnSpPr>
          <xdr:spPr>
            <a:xfrm>
              <a:off x="2592705" y="3851910"/>
              <a:ext cx="133350" cy="1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w="med" len="sm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9" name="Straight Arrow Connector 238">
              <a:extLst>
                <a:ext uri="{FF2B5EF4-FFF2-40B4-BE49-F238E27FC236}">
                  <a16:creationId xmlns:a16="http://schemas.microsoft.com/office/drawing/2014/main" id="{46280375-7615-41F1-ACE8-EA930B4481D9}"/>
                </a:ext>
              </a:extLst>
            </xdr:cNvPr>
            <xdr:cNvCxnSpPr/>
          </xdr:nvCxnSpPr>
          <xdr:spPr>
            <a:xfrm>
              <a:off x="2722245" y="3844290"/>
              <a:ext cx="1905" cy="140970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w="med" len="sm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0" name="Straight Arrow Connector 239">
              <a:extLst>
                <a:ext uri="{FF2B5EF4-FFF2-40B4-BE49-F238E27FC236}">
                  <a16:creationId xmlns:a16="http://schemas.microsoft.com/office/drawing/2014/main" id="{A1CAB376-9037-4B13-A7A0-9F5B3F987071}"/>
                </a:ext>
              </a:extLst>
            </xdr:cNvPr>
            <xdr:cNvCxnSpPr/>
          </xdr:nvCxnSpPr>
          <xdr:spPr>
            <a:xfrm>
              <a:off x="2720340" y="3979545"/>
              <a:ext cx="133350" cy="1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w="med" len="sm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32" name="Straight Arrow Connector 231">
            <a:extLst>
              <a:ext uri="{FF2B5EF4-FFF2-40B4-BE49-F238E27FC236}">
                <a16:creationId xmlns:a16="http://schemas.microsoft.com/office/drawing/2014/main" id="{23922FC7-5B38-4469-9D81-973DB00CF42C}"/>
              </a:ext>
            </a:extLst>
          </xdr:cNvPr>
          <xdr:cNvCxnSpPr/>
        </xdr:nvCxnSpPr>
        <xdr:spPr>
          <a:xfrm flipV="1">
            <a:off x="2371725" y="4021455"/>
            <a:ext cx="495300" cy="1905"/>
          </a:xfrm>
          <a:prstGeom prst="straightConnector1">
            <a:avLst/>
          </a:prstGeom>
          <a:ln w="3175">
            <a:solidFill>
              <a:schemeClr val="tx1"/>
            </a:solidFill>
            <a:prstDash val="dash"/>
            <a:headEnd w="med" len="sm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15</xdr:col>
      <xdr:colOff>152400</xdr:colOff>
      <xdr:row>70</xdr:row>
      <xdr:rowOff>0</xdr:rowOff>
    </xdr:from>
    <xdr:ext cx="579120" cy="2514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E57A12F2-2E1F-40C9-99CA-3116EA20F08D}"/>
            </a:ext>
          </a:extLst>
        </xdr:cNvPr>
        <xdr:cNvSpPr txBox="1"/>
      </xdr:nvSpPr>
      <xdr:spPr>
        <a:xfrm>
          <a:off x="8526780" y="12481560"/>
          <a:ext cx="57912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r>
            <a:rPr lang="en-US" sz="1100" b="0">
              <a:latin typeface="Arial" pitchFamily="34" charset="0"/>
              <a:cs typeface="Arial" pitchFamily="34" charset="0"/>
            </a:rPr>
            <a:t>F</a:t>
          </a:r>
          <a:r>
            <a:rPr lang="en-US" sz="1100" b="0" baseline="-25000">
              <a:latin typeface="Arial" pitchFamily="34" charset="0"/>
              <a:cs typeface="Arial" pitchFamily="34" charset="0"/>
            </a:rPr>
            <a:t>REFIN</a:t>
          </a:r>
        </a:p>
      </xdr:txBody>
    </xdr:sp>
    <xdr:clientData/>
  </xdr:oneCellAnchor>
  <xdr:twoCellAnchor>
    <xdr:from>
      <xdr:col>14</xdr:col>
      <xdr:colOff>632459</xdr:colOff>
      <xdr:row>69</xdr:row>
      <xdr:rowOff>38100</xdr:rowOff>
    </xdr:from>
    <xdr:to>
      <xdr:col>15</xdr:col>
      <xdr:colOff>198120</xdr:colOff>
      <xdr:row>70</xdr:row>
      <xdr:rowOff>53340</xdr:rowOff>
    </xdr:to>
    <xdr:cxnSp macro="">
      <xdr:nvCxnSpPr>
        <xdr:cNvPr id="242" name="Straight Arrow Connector 241">
          <a:extLst>
            <a:ext uri="{FF2B5EF4-FFF2-40B4-BE49-F238E27FC236}">
              <a16:creationId xmlns:a16="http://schemas.microsoft.com/office/drawing/2014/main" id="{230624AE-5EDE-4953-AF61-8A43844DC445}"/>
            </a:ext>
          </a:extLst>
        </xdr:cNvPr>
        <xdr:cNvCxnSpPr/>
      </xdr:nvCxnSpPr>
      <xdr:spPr>
        <a:xfrm flipH="1" flipV="1">
          <a:off x="8343899" y="12344400"/>
          <a:ext cx="228601" cy="19050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74295</xdr:colOff>
      <xdr:row>45</xdr:row>
      <xdr:rowOff>144780</xdr:rowOff>
    </xdr:from>
    <xdr:to>
      <xdr:col>5</xdr:col>
      <xdr:colOff>230505</xdr:colOff>
      <xdr:row>46</xdr:row>
      <xdr:rowOff>129540</xdr:rowOff>
    </xdr:to>
    <xdr:grpSp>
      <xdr:nvGrpSpPr>
        <xdr:cNvPr id="243" name="Group 242">
          <a:extLst>
            <a:ext uri="{FF2B5EF4-FFF2-40B4-BE49-F238E27FC236}">
              <a16:creationId xmlns:a16="http://schemas.microsoft.com/office/drawing/2014/main" id="{EE7D6359-85B7-4DE4-8121-FADB942A70F2}"/>
            </a:ext>
          </a:extLst>
        </xdr:cNvPr>
        <xdr:cNvGrpSpPr/>
      </xdr:nvGrpSpPr>
      <xdr:grpSpPr>
        <a:xfrm>
          <a:off x="2025015" y="8221980"/>
          <a:ext cx="156210" cy="160020"/>
          <a:chOff x="7957185" y="6433185"/>
          <a:chExt cx="156210" cy="160020"/>
        </a:xfrm>
      </xdr:grpSpPr>
      <xdr:sp macro="" textlink="">
        <xdr:nvSpPr>
          <xdr:cNvPr id="244" name="Rectangle 243">
            <a:extLst>
              <a:ext uri="{FF2B5EF4-FFF2-40B4-BE49-F238E27FC236}">
                <a16:creationId xmlns:a16="http://schemas.microsoft.com/office/drawing/2014/main" id="{02AFA816-4301-44FB-A481-26D9793AD8AA}"/>
              </a:ext>
            </a:extLst>
          </xdr:cNvPr>
          <xdr:cNvSpPr/>
        </xdr:nvSpPr>
        <xdr:spPr>
          <a:xfrm>
            <a:off x="7962900" y="6438900"/>
            <a:ext cx="144780" cy="152400"/>
          </a:xfrm>
          <a:prstGeom prst="rect">
            <a:avLst/>
          </a:prstGeom>
          <a:solidFill>
            <a:schemeClr val="bg1"/>
          </a:solidFill>
          <a:ln w="222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cxnSp macro="">
        <xdr:nvCxnSpPr>
          <xdr:cNvPr id="245" name="Straight Connector 244">
            <a:extLst>
              <a:ext uri="{FF2B5EF4-FFF2-40B4-BE49-F238E27FC236}">
                <a16:creationId xmlns:a16="http://schemas.microsoft.com/office/drawing/2014/main" id="{4058FE82-54B2-40D3-843F-7D8DD86DC530}"/>
              </a:ext>
            </a:extLst>
          </xdr:cNvPr>
          <xdr:cNvCxnSpPr/>
        </xdr:nvCxnSpPr>
        <xdr:spPr>
          <a:xfrm flipV="1">
            <a:off x="7957185" y="6433185"/>
            <a:ext cx="148590" cy="16002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" name="Straight Connector 245">
            <a:extLst>
              <a:ext uri="{FF2B5EF4-FFF2-40B4-BE49-F238E27FC236}">
                <a16:creationId xmlns:a16="http://schemas.microsoft.com/office/drawing/2014/main" id="{A6ACEC68-547D-4146-BEF2-94748A8A0F1A}"/>
              </a:ext>
            </a:extLst>
          </xdr:cNvPr>
          <xdr:cNvCxnSpPr/>
        </xdr:nvCxnSpPr>
        <xdr:spPr>
          <a:xfrm flipH="1" flipV="1">
            <a:off x="7962901" y="6442710"/>
            <a:ext cx="150494" cy="14859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15</xdr:col>
      <xdr:colOff>45720</xdr:colOff>
      <xdr:row>10</xdr:row>
      <xdr:rowOff>129540</xdr:rowOff>
    </xdr:from>
    <xdr:ext cx="3299460" cy="61722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3DEF6584-7811-4DC6-8024-82FE4558D78F}"/>
            </a:ext>
          </a:extLst>
        </xdr:cNvPr>
        <xdr:cNvSpPr txBox="1"/>
      </xdr:nvSpPr>
      <xdr:spPr>
        <a:xfrm>
          <a:off x="8420100" y="2065020"/>
          <a:ext cx="3299460" cy="617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r>
            <a:rPr lang="en-US" sz="1100" b="0">
              <a:latin typeface="Arial" pitchFamily="34" charset="0"/>
              <a:cs typeface="Arial" pitchFamily="34" charset="0"/>
            </a:rPr>
            <a:t>For a </a:t>
          </a:r>
          <a:r>
            <a:rPr lang="en-US" sz="1100" b="1">
              <a:latin typeface="Arial" pitchFamily="34" charset="0"/>
              <a:cs typeface="Arial" pitchFamily="34" charset="0"/>
            </a:rPr>
            <a:t>252 MHz </a:t>
          </a:r>
          <a:r>
            <a:rPr lang="en-US" sz="1100" b="0">
              <a:latin typeface="Arial" pitchFamily="34" charset="0"/>
              <a:cs typeface="Arial" pitchFamily="34" charset="0"/>
            </a:rPr>
            <a:t>example,</a:t>
          </a:r>
          <a:r>
            <a:rPr lang="en-US" sz="1100" b="0" baseline="0">
              <a:latin typeface="Arial" pitchFamily="34" charset="0"/>
              <a:cs typeface="Arial" pitchFamily="34" charset="0"/>
            </a:rPr>
            <a:t> change this to MUL_63. You will also have to change peripheralBusClkDiv from 2 to 3 for PBCLK1,2,3,5, and 8.</a:t>
          </a:r>
          <a:endParaRPr lang="en-US" sz="1100" b="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14</xdr:col>
      <xdr:colOff>579120</xdr:colOff>
      <xdr:row>13</xdr:row>
      <xdr:rowOff>60960</xdr:rowOff>
    </xdr:from>
    <xdr:to>
      <xdr:col>15</xdr:col>
      <xdr:colOff>83822</xdr:colOff>
      <xdr:row>14</xdr:row>
      <xdr:rowOff>152400</xdr:rowOff>
    </xdr:to>
    <xdr:cxnSp macro="">
      <xdr:nvCxnSpPr>
        <xdr:cNvPr id="248" name="Straight Arrow Connector 247">
          <a:extLst>
            <a:ext uri="{FF2B5EF4-FFF2-40B4-BE49-F238E27FC236}">
              <a16:creationId xmlns:a16="http://schemas.microsoft.com/office/drawing/2014/main" id="{AF5957F3-DE46-4F03-83DF-3A6F917CD942}"/>
            </a:ext>
          </a:extLst>
        </xdr:cNvPr>
        <xdr:cNvCxnSpPr/>
      </xdr:nvCxnSpPr>
      <xdr:spPr>
        <a:xfrm flipH="1">
          <a:off x="8290560" y="2529840"/>
          <a:ext cx="167642" cy="26670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137160</xdr:colOff>
      <xdr:row>0</xdr:row>
      <xdr:rowOff>114300</xdr:rowOff>
    </xdr:from>
    <xdr:to>
      <xdr:col>5</xdr:col>
      <xdr:colOff>190500</xdr:colOff>
      <xdr:row>2</xdr:row>
      <xdr:rowOff>43907</xdr:rowOff>
    </xdr:to>
    <xdr:pic>
      <xdr:nvPicPr>
        <xdr:cNvPr id="249" name="Picture 248" descr="MICH2C.bmp">
          <a:extLst>
            <a:ext uri="{FF2B5EF4-FFF2-40B4-BE49-F238E27FC236}">
              <a16:creationId xmlns:a16="http://schemas.microsoft.com/office/drawing/2014/main" id="{EA2EA54D-78ED-4D2B-A9BC-3DE749851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7160" y="114300"/>
          <a:ext cx="2004060" cy="463007"/>
        </a:xfrm>
        <a:prstGeom prst="rect">
          <a:avLst/>
        </a:prstGeom>
      </xdr:spPr>
    </xdr:pic>
    <xdr:clientData/>
  </xdr:twoCellAnchor>
  <xdr:oneCellAnchor>
    <xdr:from>
      <xdr:col>22</xdr:col>
      <xdr:colOff>312420</xdr:colOff>
      <xdr:row>10</xdr:row>
      <xdr:rowOff>137160</xdr:rowOff>
    </xdr:from>
    <xdr:ext cx="2720340" cy="7848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93ACE448-2BBF-4222-8433-C791C502DF49}"/>
            </a:ext>
          </a:extLst>
        </xdr:cNvPr>
        <xdr:cNvSpPr txBox="1"/>
      </xdr:nvSpPr>
      <xdr:spPr>
        <a:xfrm>
          <a:off x="12199620" y="2072640"/>
          <a:ext cx="2720340" cy="784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r>
            <a:rPr lang="en-US" sz="1100" b="0">
              <a:latin typeface="Arial" pitchFamily="34" charset="0"/>
              <a:cs typeface="Arial" pitchFamily="34" charset="0"/>
            </a:rPr>
            <a:t>For 252 MHz operation, ensure the flash wait states are set correctly per the data sheet:</a:t>
          </a:r>
        </a:p>
        <a:p>
          <a:pPr algn="l"/>
          <a:r>
            <a:rPr lang="en-US" sz="1100" b="0" baseline="0">
              <a:latin typeface="Arial" pitchFamily="34" charset="0"/>
              <a:cs typeface="Arial" pitchFamily="34" charset="0"/>
            </a:rPr>
            <a:t>e.g.: PFMWS&lt;2:0&gt; (PRECON&lt;2:0&gt;</a:t>
          </a:r>
          <a:r>
            <a:rPr lang="en-US" sz="1100" b="0">
              <a:latin typeface="Arial" pitchFamily="34" charset="0"/>
              <a:cs typeface="Arial" pitchFamily="34" charset="0"/>
            </a:rPr>
            <a:t>) = 4</a:t>
          </a:r>
        </a:p>
      </xdr:txBody>
    </xdr:sp>
    <xdr:clientData/>
  </xdr:oneCellAnchor>
  <xdr:twoCellAnchor>
    <xdr:from>
      <xdr:col>21</xdr:col>
      <xdr:colOff>236220</xdr:colOff>
      <xdr:row>11</xdr:row>
      <xdr:rowOff>60960</xdr:rowOff>
    </xdr:from>
    <xdr:to>
      <xdr:col>22</xdr:col>
      <xdr:colOff>327660</xdr:colOff>
      <xdr:row>11</xdr:row>
      <xdr:rowOff>68580</xdr:rowOff>
    </xdr:to>
    <xdr:cxnSp macro="">
      <xdr:nvCxnSpPr>
        <xdr:cNvPr id="251" name="Straight Arrow Connector 250">
          <a:extLst>
            <a:ext uri="{FF2B5EF4-FFF2-40B4-BE49-F238E27FC236}">
              <a16:creationId xmlns:a16="http://schemas.microsoft.com/office/drawing/2014/main" id="{2B1C5A59-2A63-4AA9-BF83-AB2953BB15EE}"/>
            </a:ext>
          </a:extLst>
        </xdr:cNvPr>
        <xdr:cNvCxnSpPr/>
      </xdr:nvCxnSpPr>
      <xdr:spPr>
        <a:xfrm flipH="1">
          <a:off x="11658600" y="2179320"/>
          <a:ext cx="556260" cy="762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224790</xdr:colOff>
      <xdr:row>24</xdr:row>
      <xdr:rowOff>172785</xdr:rowOff>
    </xdr:from>
    <xdr:to>
      <xdr:col>8</xdr:col>
      <xdr:colOff>228600</xdr:colOff>
      <xdr:row>25</xdr:row>
      <xdr:rowOff>1905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stCxn id="4" idx="3"/>
          <a:endCxn id="52" idx="1"/>
        </xdr:cNvCxnSpPr>
      </xdr:nvCxnSpPr>
      <xdr:spPr>
        <a:xfrm flipV="1">
          <a:off x="2175510" y="4569525"/>
          <a:ext cx="1931670" cy="438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74295</xdr:colOff>
      <xdr:row>24</xdr:row>
      <xdr:rowOff>95250</xdr:rowOff>
    </xdr:from>
    <xdr:to>
      <xdr:col>5</xdr:col>
      <xdr:colOff>230505</xdr:colOff>
      <xdr:row>25</xdr:row>
      <xdr:rowOff>80010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025015" y="4484370"/>
          <a:ext cx="156210" cy="160020"/>
          <a:chOff x="7957185" y="6433185"/>
          <a:chExt cx="156210" cy="160020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7962900" y="6438900"/>
            <a:ext cx="144780" cy="152400"/>
          </a:xfrm>
          <a:prstGeom prst="rect">
            <a:avLst/>
          </a:prstGeom>
          <a:solidFill>
            <a:schemeClr val="bg1"/>
          </a:solidFill>
          <a:ln w="222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 flipV="1">
            <a:off x="7957185" y="6433185"/>
            <a:ext cx="148590" cy="16002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 flipH="1" flipV="1">
            <a:off x="7962901" y="6442710"/>
            <a:ext cx="150494" cy="14859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76200</xdr:colOff>
      <xdr:row>29</xdr:row>
      <xdr:rowOff>104775</xdr:rowOff>
    </xdr:from>
    <xdr:to>
      <xdr:col>5</xdr:col>
      <xdr:colOff>232410</xdr:colOff>
      <xdr:row>30</xdr:row>
      <xdr:rowOff>81915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2026920" y="5370195"/>
          <a:ext cx="156210" cy="152400"/>
          <a:chOff x="7957185" y="6433185"/>
          <a:chExt cx="156210" cy="160020"/>
        </a:xfrm>
      </xdr:grpSpPr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7962900" y="6438900"/>
            <a:ext cx="144780" cy="152400"/>
          </a:xfrm>
          <a:prstGeom prst="rect">
            <a:avLst/>
          </a:prstGeom>
          <a:solidFill>
            <a:schemeClr val="bg1"/>
          </a:solidFill>
          <a:ln w="222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 flipV="1">
            <a:off x="7957185" y="6433185"/>
            <a:ext cx="148590" cy="16002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 flipH="1" flipV="1">
            <a:off x="7962901" y="6442710"/>
            <a:ext cx="150494" cy="14859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226695</xdr:colOff>
      <xdr:row>30</xdr:row>
      <xdr:rowOff>7530</xdr:rowOff>
    </xdr:from>
    <xdr:to>
      <xdr:col>6</xdr:col>
      <xdr:colOff>350520</xdr:colOff>
      <xdr:row>30</xdr:row>
      <xdr:rowOff>7620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endCxn id="8" idx="3"/>
        </xdr:cNvCxnSpPr>
      </xdr:nvCxnSpPr>
      <xdr:spPr>
        <a:xfrm flipH="1" flipV="1">
          <a:off x="2177415" y="5455830"/>
          <a:ext cx="710565" cy="9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382905</xdr:colOff>
      <xdr:row>24</xdr:row>
      <xdr:rowOff>173355</xdr:rowOff>
    </xdr:from>
    <xdr:to>
      <xdr:col>5</xdr:col>
      <xdr:colOff>582930</xdr:colOff>
      <xdr:row>30</xdr:row>
      <xdr:rowOff>7620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2333625" y="4562475"/>
          <a:ext cx="200025" cy="885825"/>
          <a:chOff x="8985885" y="6543675"/>
          <a:chExt cx="139065" cy="923925"/>
        </a:xfrm>
      </xdr:grpSpPr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9056370" y="7187565"/>
            <a:ext cx="3810" cy="280035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9056370" y="6819900"/>
            <a:ext cx="66675" cy="3429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>
          <a:xfrm flipV="1">
            <a:off x="9052560" y="7145655"/>
            <a:ext cx="68580" cy="40005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8985885" y="6926580"/>
            <a:ext cx="139065" cy="7239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8985885" y="7077075"/>
            <a:ext cx="139065" cy="7239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/>
        </xdr:nvCxnSpPr>
        <xdr:spPr>
          <a:xfrm flipV="1">
            <a:off x="8989695" y="6852285"/>
            <a:ext cx="131445" cy="7239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/>
        </xdr:nvCxnSpPr>
        <xdr:spPr>
          <a:xfrm flipV="1">
            <a:off x="8993505" y="7000875"/>
            <a:ext cx="131445" cy="7239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CxnSpPr/>
        </xdr:nvCxnSpPr>
        <xdr:spPr>
          <a:xfrm>
            <a:off x="9054465" y="6543675"/>
            <a:ext cx="1905" cy="276225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139065</xdr:colOff>
      <xdr:row>25</xdr:row>
      <xdr:rowOff>5715</xdr:rowOff>
    </xdr:from>
    <xdr:to>
      <xdr:col>6</xdr:col>
      <xdr:colOff>542925</xdr:colOff>
      <xdr:row>30</xdr:row>
      <xdr:rowOff>13336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2676525" y="4570095"/>
          <a:ext cx="403860" cy="883921"/>
          <a:chOff x="9351645" y="6551295"/>
          <a:chExt cx="411480" cy="922021"/>
        </a:xfrm>
      </xdr:grpSpPr>
      <xdr:cxnSp macro="">
        <xdr:nvCxnSpPr>
          <xdr:cNvPr id="22" name="Straight Connector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 flipH="1" flipV="1">
            <a:off x="9557385" y="6551295"/>
            <a:ext cx="1" cy="922021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Isosceles Triangle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 rot="10800000">
            <a:off x="9351645" y="6812280"/>
            <a:ext cx="411480" cy="35814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Oval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9536430" y="7168516"/>
            <a:ext cx="45719" cy="45719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6</xdr:col>
      <xdr:colOff>441960</xdr:colOff>
      <xdr:row>27</xdr:row>
      <xdr:rowOff>76200</xdr:rowOff>
    </xdr:from>
    <xdr:to>
      <xdr:col>7</xdr:col>
      <xdr:colOff>264795</xdr:colOff>
      <xdr:row>27</xdr:row>
      <xdr:rowOff>77066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stCxn id="30" idx="1"/>
          <a:endCxn id="23" idx="1"/>
        </xdr:cNvCxnSpPr>
      </xdr:nvCxnSpPr>
      <xdr:spPr>
        <a:xfrm flipH="1">
          <a:off x="2979420" y="4998720"/>
          <a:ext cx="424815" cy="866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358139</xdr:colOff>
      <xdr:row>17</xdr:row>
      <xdr:rowOff>97155</xdr:rowOff>
    </xdr:from>
    <xdr:to>
      <xdr:col>17</xdr:col>
      <xdr:colOff>403860</xdr:colOff>
      <xdr:row>19</xdr:row>
      <xdr:rowOff>112395</xdr:rowOff>
    </xdr:to>
    <xdr:sp macro="" textlink="">
      <xdr:nvSpPr>
        <xdr:cNvPr id="26" name="Rounded 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9128759" y="3267075"/>
          <a:ext cx="784861" cy="36576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PLL Output Divider</a:t>
          </a:r>
        </a:p>
      </xdr:txBody>
    </xdr:sp>
    <xdr:clientData/>
  </xdr:twoCellAnchor>
  <xdr:twoCellAnchor>
    <xdr:from>
      <xdr:col>7</xdr:col>
      <xdr:colOff>396241</xdr:colOff>
      <xdr:row>17</xdr:row>
      <xdr:rowOff>99056</xdr:rowOff>
    </xdr:from>
    <xdr:to>
      <xdr:col>8</xdr:col>
      <xdr:colOff>342901</xdr:colOff>
      <xdr:row>19</xdr:row>
      <xdr:rowOff>114296</xdr:rowOff>
    </xdr:to>
    <xdr:sp macro="" textlink="">
      <xdr:nvSpPr>
        <xdr:cNvPr id="27" name="Rounded 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535681" y="3268976"/>
          <a:ext cx="685800" cy="36576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PLL Input Selection</a:t>
          </a:r>
        </a:p>
      </xdr:txBody>
    </xdr:sp>
    <xdr:clientData/>
  </xdr:twoCellAnchor>
  <xdr:twoCellAnchor>
    <xdr:from>
      <xdr:col>10</xdr:col>
      <xdr:colOff>398144</xdr:colOff>
      <xdr:row>17</xdr:row>
      <xdr:rowOff>97154</xdr:rowOff>
    </xdr:from>
    <xdr:to>
      <xdr:col>11</xdr:col>
      <xdr:colOff>344804</xdr:colOff>
      <xdr:row>19</xdr:row>
      <xdr:rowOff>112394</xdr:rowOff>
    </xdr:to>
    <xdr:sp macro="" textlink="">
      <xdr:nvSpPr>
        <xdr:cNvPr id="28" name="Rounded 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648324" y="3267074"/>
          <a:ext cx="685800" cy="36576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PLL Input Divider</a:t>
          </a:r>
        </a:p>
      </xdr:txBody>
    </xdr:sp>
    <xdr:clientData/>
  </xdr:twoCellAnchor>
  <xdr:twoCellAnchor>
    <xdr:from>
      <xdr:col>13</xdr:col>
      <xdr:colOff>392429</xdr:colOff>
      <xdr:row>17</xdr:row>
      <xdr:rowOff>97154</xdr:rowOff>
    </xdr:from>
    <xdr:to>
      <xdr:col>14</xdr:col>
      <xdr:colOff>339089</xdr:colOff>
      <xdr:row>19</xdr:row>
      <xdr:rowOff>112394</xdr:rowOff>
    </xdr:to>
    <xdr:sp macro="" textlink="">
      <xdr:nvSpPr>
        <xdr:cNvPr id="29" name="Rounded 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7364729" y="3267074"/>
          <a:ext cx="685800" cy="36576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PLL Multiplier</a:t>
          </a:r>
        </a:p>
      </xdr:txBody>
    </xdr:sp>
    <xdr:clientData/>
  </xdr:twoCellAnchor>
  <xdr:twoCellAnchor>
    <xdr:from>
      <xdr:col>7</xdr:col>
      <xdr:colOff>264795</xdr:colOff>
      <xdr:row>26</xdr:row>
      <xdr:rowOff>68580</xdr:rowOff>
    </xdr:from>
    <xdr:to>
      <xdr:col>8</xdr:col>
      <xdr:colOff>0</xdr:colOff>
      <xdr:row>28</xdr:row>
      <xdr:rowOff>83820</xdr:rowOff>
    </xdr:to>
    <xdr:sp macro="" textlink="">
      <xdr:nvSpPr>
        <xdr:cNvPr id="30" name="Rounded 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3404235" y="4815840"/>
          <a:ext cx="474345" cy="36576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POSC Enable</a:t>
          </a:r>
        </a:p>
      </xdr:txBody>
    </xdr:sp>
    <xdr:clientData/>
  </xdr:twoCellAnchor>
  <xdr:twoCellAnchor>
    <xdr:from>
      <xdr:col>8</xdr:col>
      <xdr:colOff>342901</xdr:colOff>
      <xdr:row>18</xdr:row>
      <xdr:rowOff>104774</xdr:rowOff>
    </xdr:from>
    <xdr:to>
      <xdr:col>10</xdr:col>
      <xdr:colOff>398144</xdr:colOff>
      <xdr:row>18</xdr:row>
      <xdr:rowOff>106676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stCxn id="27" idx="3"/>
          <a:endCxn id="28" idx="1"/>
        </xdr:cNvCxnSpPr>
      </xdr:nvCxnSpPr>
      <xdr:spPr>
        <a:xfrm flipV="1">
          <a:off x="4221481" y="3449954"/>
          <a:ext cx="1426843" cy="1902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344804</xdr:colOff>
      <xdr:row>18</xdr:row>
      <xdr:rowOff>104774</xdr:rowOff>
    </xdr:from>
    <xdr:to>
      <xdr:col>13</xdr:col>
      <xdr:colOff>392429</xdr:colOff>
      <xdr:row>18</xdr:row>
      <xdr:rowOff>104774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stCxn id="28" idx="3"/>
          <a:endCxn id="29" idx="1"/>
        </xdr:cNvCxnSpPr>
      </xdr:nvCxnSpPr>
      <xdr:spPr>
        <a:xfrm>
          <a:off x="6334124" y="3449954"/>
          <a:ext cx="1030605" cy="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339089</xdr:colOff>
      <xdr:row>18</xdr:row>
      <xdr:rowOff>104774</xdr:rowOff>
    </xdr:from>
    <xdr:to>
      <xdr:col>16</xdr:col>
      <xdr:colOff>358139</xdr:colOff>
      <xdr:row>18</xdr:row>
      <xdr:rowOff>104775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stCxn id="29" idx="3"/>
          <a:endCxn id="26" idx="1"/>
        </xdr:cNvCxnSpPr>
      </xdr:nvCxnSpPr>
      <xdr:spPr>
        <a:xfrm>
          <a:off x="8050529" y="3449954"/>
          <a:ext cx="1078230" cy="1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403860</xdr:colOff>
      <xdr:row>18</xdr:row>
      <xdr:rowOff>95251</xdr:rowOff>
    </xdr:from>
    <xdr:to>
      <xdr:col>18</xdr:col>
      <xdr:colOff>525780</xdr:colOff>
      <xdr:row>18</xdr:row>
      <xdr:rowOff>104775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>
          <a:stCxn id="26" idx="3"/>
        </xdr:cNvCxnSpPr>
      </xdr:nvCxnSpPr>
      <xdr:spPr>
        <a:xfrm flipV="1">
          <a:off x="9913620" y="3440431"/>
          <a:ext cx="548640" cy="9524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17</xdr:row>
      <xdr:rowOff>160020</xdr:rowOff>
    </xdr:from>
    <xdr:to>
      <xdr:col>7</xdr:col>
      <xdr:colOff>388620</xdr:colOff>
      <xdr:row>17</xdr:row>
      <xdr:rowOff>167640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V="1">
          <a:off x="2537460" y="3329940"/>
          <a:ext cx="990600" cy="762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</xdr:colOff>
      <xdr:row>9</xdr:row>
      <xdr:rowOff>167640</xdr:rowOff>
    </xdr:from>
    <xdr:to>
      <xdr:col>5</xdr:col>
      <xdr:colOff>304799</xdr:colOff>
      <xdr:row>13</xdr:row>
      <xdr:rowOff>15236</xdr:rowOff>
    </xdr:to>
    <xdr:sp macro="" textlink="">
      <xdr:nvSpPr>
        <xdr:cNvPr id="36" name="Rounded Rectangl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562100" y="1927860"/>
          <a:ext cx="693419" cy="556256"/>
        </a:xfrm>
        <a:prstGeom prst="roundRect">
          <a:avLst/>
        </a:prstGeom>
        <a:solidFill>
          <a:srgbClr val="697C5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FRC Oscillator</a:t>
          </a:r>
        </a:p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8 MHz</a:t>
          </a:r>
        </a:p>
      </xdr:txBody>
    </xdr:sp>
    <xdr:clientData/>
  </xdr:twoCellAnchor>
  <xdr:twoCellAnchor>
    <xdr:from>
      <xdr:col>4</xdr:col>
      <xdr:colOff>7620</xdr:colOff>
      <xdr:row>26</xdr:row>
      <xdr:rowOff>76200</xdr:rowOff>
    </xdr:from>
    <xdr:to>
      <xdr:col>5</xdr:col>
      <xdr:colOff>274319</xdr:colOff>
      <xdr:row>28</xdr:row>
      <xdr:rowOff>99060</xdr:rowOff>
    </xdr:to>
    <xdr:sp macro="" textlink="">
      <xdr:nvSpPr>
        <xdr:cNvPr id="37" name="Rounded Rectangl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562100" y="4823460"/>
          <a:ext cx="662939" cy="373380"/>
        </a:xfrm>
        <a:prstGeom prst="roundRect">
          <a:avLst/>
        </a:prstGeom>
        <a:solidFill>
          <a:srgbClr val="697C5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POSC Oscillator</a:t>
          </a:r>
        </a:p>
      </xdr:txBody>
    </xdr:sp>
    <xdr:clientData/>
  </xdr:twoCellAnchor>
  <xdr:twoCellAnchor>
    <xdr:from>
      <xdr:col>5</xdr:col>
      <xdr:colOff>579120</xdr:colOff>
      <xdr:row>11</xdr:row>
      <xdr:rowOff>83816</xdr:rowOff>
    </xdr:from>
    <xdr:to>
      <xdr:col>5</xdr:col>
      <xdr:colOff>582930</xdr:colOff>
      <xdr:row>18</xdr:row>
      <xdr:rowOff>0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H="1">
          <a:off x="2529840" y="2202176"/>
          <a:ext cx="3810" cy="1143004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518160</xdr:colOff>
      <xdr:row>15</xdr:row>
      <xdr:rowOff>99060</xdr:rowOff>
    </xdr:from>
    <xdr:to>
      <xdr:col>18</xdr:col>
      <xdr:colOff>114300</xdr:colOff>
      <xdr:row>22</xdr:row>
      <xdr:rowOff>114300</xdr:rowOff>
    </xdr:to>
    <xdr:sp macro="" textlink="">
      <xdr:nvSpPr>
        <xdr:cNvPr id="39" name="Rounded Rectangl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055620" y="2910840"/>
          <a:ext cx="7124700" cy="1242060"/>
        </a:xfrm>
        <a:prstGeom prst="roundRect">
          <a:avLst>
            <a:gd name="adj" fmla="val 10506"/>
          </a:avLst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15240</xdr:colOff>
      <xdr:row>18</xdr:row>
      <xdr:rowOff>167640</xdr:rowOff>
    </xdr:from>
    <xdr:to>
      <xdr:col>7</xdr:col>
      <xdr:colOff>15240</xdr:colOff>
      <xdr:row>25</xdr:row>
      <xdr:rowOff>15240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3154680" y="3512820"/>
          <a:ext cx="0" cy="107442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</xdr:colOff>
      <xdr:row>18</xdr:row>
      <xdr:rowOff>160020</xdr:rowOff>
    </xdr:from>
    <xdr:to>
      <xdr:col>7</xdr:col>
      <xdr:colOff>388620</xdr:colOff>
      <xdr:row>18</xdr:row>
      <xdr:rowOff>167640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 flipV="1">
          <a:off x="3147060" y="3505200"/>
          <a:ext cx="381000" cy="762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662940</xdr:colOff>
      <xdr:row>20</xdr:row>
      <xdr:rowOff>129540</xdr:rowOff>
    </xdr:from>
    <xdr:ext cx="1065613" cy="269369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541520" y="3825240"/>
          <a:ext cx="106561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System PLL</a:t>
          </a:r>
        </a:p>
      </xdr:txBody>
    </xdr:sp>
    <xdr:clientData/>
  </xdr:oneCellAnchor>
  <xdr:oneCellAnchor>
    <xdr:from>
      <xdr:col>3</xdr:col>
      <xdr:colOff>312420</xdr:colOff>
      <xdr:row>56</xdr:row>
      <xdr:rowOff>38100</xdr:rowOff>
    </xdr:from>
    <xdr:ext cx="2697481" cy="70104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295400" y="10066020"/>
          <a:ext cx="2697481" cy="7010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Device configuration settings per highlighted selections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above </a:t>
          </a:r>
          <a:r>
            <a:rPr lang="en-US" sz="1000" b="0" baseline="0">
              <a:latin typeface="Arial" pitchFamily="34" charset="0"/>
              <a:cs typeface="Arial" pitchFamily="34" charset="0"/>
            </a:rPr>
            <a:t>(</a:t>
          </a:r>
          <a:r>
            <a:rPr lang="en-US" sz="1000" b="0">
              <a:latin typeface="Arial" pitchFamily="34" charset="0"/>
              <a:cs typeface="Arial" pitchFamily="34" charset="0"/>
            </a:rPr>
            <a:t>configured at program time)</a:t>
          </a:r>
          <a:endParaRPr lang="en-US" sz="1100" b="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14</xdr:col>
      <xdr:colOff>243841</xdr:colOff>
      <xdr:row>83</xdr:row>
      <xdr:rowOff>83820</xdr:rowOff>
    </xdr:from>
    <xdr:ext cx="4023359" cy="4800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955281" y="14843760"/>
          <a:ext cx="4023359" cy="480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Harmony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functions to configure clocks at</a:t>
          </a:r>
          <a:r>
            <a:rPr lang="en-US" sz="1200" b="1">
              <a:latin typeface="Arial" pitchFamily="34" charset="0"/>
              <a:cs typeface="Arial" pitchFamily="34" charset="0"/>
            </a:rPr>
            <a:t> run time</a:t>
          </a:r>
        </a:p>
        <a:p>
          <a:pPr algn="ctr"/>
          <a:r>
            <a:rPr lang="en-US" sz="1000" b="0">
              <a:latin typeface="Arial" pitchFamily="34" charset="0"/>
              <a:cs typeface="Arial" pitchFamily="34" charset="0"/>
            </a:rPr>
            <a:t>(for reference only...not controlled by selections above)</a:t>
          </a:r>
        </a:p>
      </xdr:txBody>
    </xdr:sp>
    <xdr:clientData/>
  </xdr:oneCellAnchor>
  <xdr:twoCellAnchor>
    <xdr:from>
      <xdr:col>7</xdr:col>
      <xdr:colOff>481963</xdr:colOff>
      <xdr:row>10</xdr:row>
      <xdr:rowOff>152400</xdr:rowOff>
    </xdr:from>
    <xdr:to>
      <xdr:col>8</xdr:col>
      <xdr:colOff>274320</xdr:colOff>
      <xdr:row>12</xdr:row>
      <xdr:rowOff>30480</xdr:rowOff>
    </xdr:to>
    <xdr:sp macro="" textlink="">
      <xdr:nvSpPr>
        <xdr:cNvPr id="45" name="Rounded Rectangl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621403" y="2087880"/>
          <a:ext cx="531497" cy="23622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Divider</a:t>
          </a:r>
        </a:p>
      </xdr:txBody>
    </xdr:sp>
    <xdr:clientData/>
  </xdr:twoCellAnchor>
  <xdr:twoCellAnchor>
    <xdr:from>
      <xdr:col>5</xdr:col>
      <xdr:colOff>304799</xdr:colOff>
      <xdr:row>11</xdr:row>
      <xdr:rowOff>87628</xdr:rowOff>
    </xdr:from>
    <xdr:to>
      <xdr:col>7</xdr:col>
      <xdr:colOff>481963</xdr:colOff>
      <xdr:row>11</xdr:row>
      <xdr:rowOff>87630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>
          <a:stCxn id="36" idx="3"/>
          <a:endCxn id="45" idx="1"/>
        </xdr:cNvCxnSpPr>
      </xdr:nvCxnSpPr>
      <xdr:spPr>
        <a:xfrm>
          <a:off x="2255519" y="2205988"/>
          <a:ext cx="1365884" cy="2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274320</xdr:colOff>
      <xdr:row>11</xdr:row>
      <xdr:rowOff>87630</xdr:rowOff>
    </xdr:from>
    <xdr:to>
      <xdr:col>9</xdr:col>
      <xdr:colOff>38100</xdr:colOff>
      <xdr:row>11</xdr:row>
      <xdr:rowOff>88965</xdr:rowOff>
    </xdr:to>
    <xdr:cxnSp macro="">
      <xdr:nvCxnSpPr>
        <xdr:cNvPr id="47" name="Straight Arrow Connector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>
          <a:stCxn id="45" idx="3"/>
          <a:endCxn id="53" idx="1"/>
        </xdr:cNvCxnSpPr>
      </xdr:nvCxnSpPr>
      <xdr:spPr>
        <a:xfrm>
          <a:off x="4152900" y="2205990"/>
          <a:ext cx="502920" cy="133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91440</xdr:colOff>
      <xdr:row>6</xdr:row>
      <xdr:rowOff>99060</xdr:rowOff>
    </xdr:from>
    <xdr:to>
      <xdr:col>5</xdr:col>
      <xdr:colOff>226697</xdr:colOff>
      <xdr:row>8</xdr:row>
      <xdr:rowOff>114300</xdr:rowOff>
    </xdr:to>
    <xdr:sp macro="" textlink="">
      <xdr:nvSpPr>
        <xdr:cNvPr id="48" name="Rounded Rectangl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645920" y="1333500"/>
          <a:ext cx="531497" cy="36576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FRC Tune</a:t>
          </a:r>
        </a:p>
      </xdr:txBody>
    </xdr:sp>
    <xdr:clientData/>
  </xdr:twoCellAnchor>
  <xdr:twoCellAnchor>
    <xdr:from>
      <xdr:col>4</xdr:col>
      <xdr:colOff>354330</xdr:colOff>
      <xdr:row>8</xdr:row>
      <xdr:rowOff>114300</xdr:rowOff>
    </xdr:from>
    <xdr:to>
      <xdr:col>4</xdr:col>
      <xdr:colOff>357189</xdr:colOff>
      <xdr:row>9</xdr:row>
      <xdr:rowOff>167640</xdr:rowOff>
    </xdr:to>
    <xdr:cxnSp macro="">
      <xdr:nvCxnSpPr>
        <xdr:cNvPr id="49" name="Straight Arrow Connector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>
          <a:stCxn id="48" idx="2"/>
          <a:endCxn id="36" idx="0"/>
        </xdr:cNvCxnSpPr>
      </xdr:nvCxnSpPr>
      <xdr:spPr>
        <a:xfrm flipH="1">
          <a:off x="1908810" y="1699260"/>
          <a:ext cx="2859" cy="22860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198121</xdr:colOff>
      <xdr:row>9</xdr:row>
      <xdr:rowOff>121920</xdr:rowOff>
    </xdr:from>
    <xdr:ext cx="891539" cy="64008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518161" y="1882140"/>
          <a:ext cx="891539" cy="640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Internal Fast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RC Oscillator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198120</xdr:colOff>
      <xdr:row>25</xdr:row>
      <xdr:rowOff>114300</xdr:rowOff>
    </xdr:from>
    <xdr:ext cx="891539" cy="64008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518160" y="4686300"/>
          <a:ext cx="891539" cy="640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External Primany </a:t>
          </a:r>
          <a:r>
            <a:rPr lang="en-US" sz="1200" b="1" baseline="0">
              <a:latin typeface="Arial" pitchFamily="34" charset="0"/>
              <a:cs typeface="Arial" pitchFamily="34" charset="0"/>
            </a:rPr>
            <a:t>Oscillator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8</xdr:col>
      <xdr:colOff>228600</xdr:colOff>
      <xdr:row>24</xdr:row>
      <xdr:rowOff>38100</xdr:rowOff>
    </xdr:from>
    <xdr:ext cx="620811" cy="269369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4107180" y="4434840"/>
          <a:ext cx="62081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POSC</a:t>
          </a:r>
        </a:p>
      </xdr:txBody>
    </xdr:sp>
    <xdr:clientData/>
  </xdr:oneCellAnchor>
  <xdr:oneCellAnchor>
    <xdr:from>
      <xdr:col>9</xdr:col>
      <xdr:colOff>38100</xdr:colOff>
      <xdr:row>10</xdr:row>
      <xdr:rowOff>137160</xdr:rowOff>
    </xdr:from>
    <xdr:ext cx="890115" cy="269369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4655820" y="2072640"/>
          <a:ext cx="89011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FRCDIV =</a:t>
          </a:r>
        </a:p>
      </xdr:txBody>
    </xdr:sp>
    <xdr:clientData/>
  </xdr:oneCellAnchor>
  <xdr:oneCellAnchor>
    <xdr:from>
      <xdr:col>18</xdr:col>
      <xdr:colOff>304800</xdr:colOff>
      <xdr:row>17</xdr:row>
      <xdr:rowOff>144780</xdr:rowOff>
    </xdr:from>
    <xdr:ext cx="834331" cy="800476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0370820" y="3314700"/>
          <a:ext cx="834331" cy="8004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XTPLL =</a:t>
          </a:r>
        </a:p>
        <a:p>
          <a:r>
            <a:rPr lang="en-US" sz="1200" b="1">
              <a:latin typeface="Arial" pitchFamily="34" charset="0"/>
              <a:cs typeface="Arial" pitchFamily="34" charset="0"/>
            </a:rPr>
            <a:t>HSPLL</a:t>
          </a:r>
        </a:p>
        <a:p>
          <a:r>
            <a:rPr lang="en-US" sz="1200" b="1">
              <a:latin typeface="Arial" pitchFamily="34" charset="0"/>
              <a:cs typeface="Arial" pitchFamily="34" charset="0"/>
            </a:rPr>
            <a:t>ECPLL</a:t>
          </a:r>
        </a:p>
        <a:p>
          <a:r>
            <a:rPr lang="en-US" sz="1200" b="1">
              <a:latin typeface="Arial" pitchFamily="34" charset="0"/>
              <a:cs typeface="Arial" pitchFamily="34" charset="0"/>
            </a:rPr>
            <a:t>FRCPLL</a:t>
          </a:r>
        </a:p>
      </xdr:txBody>
    </xdr:sp>
    <xdr:clientData/>
  </xdr:oneCellAnchor>
  <xdr:twoCellAnchor>
    <xdr:from>
      <xdr:col>13</xdr:col>
      <xdr:colOff>281940</xdr:colOff>
      <xdr:row>30</xdr:row>
      <xdr:rowOff>97155</xdr:rowOff>
    </xdr:from>
    <xdr:to>
      <xdr:col>14</xdr:col>
      <xdr:colOff>228600</xdr:colOff>
      <xdr:row>32</xdr:row>
      <xdr:rowOff>112395</xdr:rowOff>
    </xdr:to>
    <xdr:sp macro="" textlink="">
      <xdr:nvSpPr>
        <xdr:cNvPr id="55" name="Rounded Rectangl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7254240" y="5545455"/>
          <a:ext cx="685800" cy="36576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USB PLL</a:t>
          </a:r>
        </a:p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x 24</a:t>
          </a:r>
        </a:p>
      </xdr:txBody>
    </xdr:sp>
    <xdr:clientData/>
  </xdr:twoCellAnchor>
  <xdr:twoCellAnchor>
    <xdr:from>
      <xdr:col>12</xdr:col>
      <xdr:colOff>11430</xdr:colOff>
      <xdr:row>32</xdr:row>
      <xdr:rowOff>40005</xdr:rowOff>
    </xdr:from>
    <xdr:to>
      <xdr:col>12</xdr:col>
      <xdr:colOff>15240</xdr:colOff>
      <xdr:row>33</xdr:row>
      <xdr:rowOff>146686</xdr:rowOff>
    </xdr:to>
    <xdr:cxnSp macro="">
      <xdr:nvCxnSpPr>
        <xdr:cNvPr id="56" name="Straight Arrow Connector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 flipH="1" flipV="1">
          <a:off x="6473190" y="5838825"/>
          <a:ext cx="3810" cy="281941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175041</xdr:colOff>
      <xdr:row>31</xdr:row>
      <xdr:rowOff>104205</xdr:rowOff>
    </xdr:from>
    <xdr:to>
      <xdr:col>11</xdr:col>
      <xdr:colOff>190500</xdr:colOff>
      <xdr:row>31</xdr:row>
      <xdr:rowOff>104775</xdr:rowOff>
    </xdr:to>
    <xdr:cxnSp macro="">
      <xdr:nvCxnSpPr>
        <xdr:cNvPr id="57" name="Straight Arrow Connector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>
          <a:stCxn id="206" idx="3"/>
          <a:endCxn id="194" idx="1"/>
        </xdr:cNvCxnSpPr>
      </xdr:nvCxnSpPr>
      <xdr:spPr>
        <a:xfrm>
          <a:off x="5425221" y="5727765"/>
          <a:ext cx="754599" cy="57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83820</xdr:colOff>
      <xdr:row>29</xdr:row>
      <xdr:rowOff>96585</xdr:rowOff>
    </xdr:from>
    <xdr:to>
      <xdr:col>23</xdr:col>
      <xdr:colOff>175260</xdr:colOff>
      <xdr:row>29</xdr:row>
      <xdr:rowOff>97158</xdr:rowOff>
    </xdr:to>
    <xdr:cxnSp macro="">
      <xdr:nvCxnSpPr>
        <xdr:cNvPr id="58" name="Straight Arrow Connector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>
          <a:stCxn id="207" idx="0"/>
          <a:endCxn id="59" idx="1"/>
        </xdr:cNvCxnSpPr>
      </xdr:nvCxnSpPr>
      <xdr:spPr>
        <a:xfrm flipV="1">
          <a:off x="10149840" y="5369625"/>
          <a:ext cx="2522220" cy="573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175260</xdr:colOff>
      <xdr:row>28</xdr:row>
      <xdr:rowOff>137160</xdr:rowOff>
    </xdr:from>
    <xdr:ext cx="825803" cy="269369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2672060" y="5234940"/>
          <a:ext cx="82580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USBCLK</a:t>
          </a:r>
        </a:p>
      </xdr:txBody>
    </xdr:sp>
    <xdr:clientData/>
  </xdr:oneCellAnchor>
  <xdr:twoCellAnchor>
    <xdr:from>
      <xdr:col>5</xdr:col>
      <xdr:colOff>224790</xdr:colOff>
      <xdr:row>46</xdr:row>
      <xdr:rowOff>50865</xdr:rowOff>
    </xdr:from>
    <xdr:to>
      <xdr:col>8</xdr:col>
      <xdr:colOff>464820</xdr:colOff>
      <xdr:row>46</xdr:row>
      <xdr:rowOff>51435</xdr:rowOff>
    </xdr:to>
    <xdr:cxnSp macro="">
      <xdr:nvCxnSpPr>
        <xdr:cNvPr id="60" name="Straight Arrow Connector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>
          <a:stCxn id="62" idx="3"/>
          <a:endCxn id="90" idx="1"/>
        </xdr:cNvCxnSpPr>
      </xdr:nvCxnSpPr>
      <xdr:spPr>
        <a:xfrm flipV="1">
          <a:off x="2175510" y="8303325"/>
          <a:ext cx="2167890" cy="57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74295</xdr:colOff>
      <xdr:row>45</xdr:row>
      <xdr:rowOff>144780</xdr:rowOff>
    </xdr:from>
    <xdr:to>
      <xdr:col>5</xdr:col>
      <xdr:colOff>230505</xdr:colOff>
      <xdr:row>46</xdr:row>
      <xdr:rowOff>129540</xdr:rowOff>
    </xdr:to>
    <xdr:grpSp>
      <xdr:nvGrpSpPr>
        <xdr:cNvPr id="61" name="Group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GrpSpPr/>
      </xdr:nvGrpSpPr>
      <xdr:grpSpPr>
        <a:xfrm>
          <a:off x="2025015" y="8214360"/>
          <a:ext cx="156210" cy="160020"/>
          <a:chOff x="7957185" y="6433185"/>
          <a:chExt cx="156210" cy="160020"/>
        </a:xfrm>
      </xdr:grpSpPr>
      <xdr:sp macro="" textlink="">
        <xdr:nvSpPr>
          <xdr:cNvPr id="62" name="Rectangle 61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/>
        </xdr:nvSpPr>
        <xdr:spPr>
          <a:xfrm>
            <a:off x="7962900" y="6438900"/>
            <a:ext cx="144780" cy="152400"/>
          </a:xfrm>
          <a:prstGeom prst="rect">
            <a:avLst/>
          </a:prstGeom>
          <a:solidFill>
            <a:schemeClr val="bg1"/>
          </a:solidFill>
          <a:ln w="222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cxnSp macro="">
        <xdr:nvCxnSpPr>
          <xdr:cNvPr id="63" name="Straight Connector 62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CxnSpPr/>
        </xdr:nvCxnSpPr>
        <xdr:spPr>
          <a:xfrm flipV="1">
            <a:off x="7957185" y="6433185"/>
            <a:ext cx="148590" cy="16002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Straight Connector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CxnSpPr/>
        </xdr:nvCxnSpPr>
        <xdr:spPr>
          <a:xfrm flipH="1" flipV="1">
            <a:off x="7962901" y="6442710"/>
            <a:ext cx="150494" cy="14859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76200</xdr:colOff>
      <xdr:row>50</xdr:row>
      <xdr:rowOff>154305</xdr:rowOff>
    </xdr:from>
    <xdr:to>
      <xdr:col>5</xdr:col>
      <xdr:colOff>232410</xdr:colOff>
      <xdr:row>51</xdr:row>
      <xdr:rowOff>131445</xdr:rowOff>
    </xdr:to>
    <xdr:grpSp>
      <xdr:nvGrpSpPr>
        <xdr:cNvPr id="65" name="Group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GrpSpPr/>
      </xdr:nvGrpSpPr>
      <xdr:grpSpPr>
        <a:xfrm>
          <a:off x="2026920" y="9100185"/>
          <a:ext cx="156210" cy="152400"/>
          <a:chOff x="7957185" y="6433185"/>
          <a:chExt cx="156210" cy="160020"/>
        </a:xfrm>
      </xdr:grpSpPr>
      <xdr:sp macro="" textlink="">
        <xdr:nvSpPr>
          <xdr:cNvPr id="66" name="Rectangle 65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/>
        </xdr:nvSpPr>
        <xdr:spPr>
          <a:xfrm>
            <a:off x="7962900" y="6438900"/>
            <a:ext cx="144780" cy="152400"/>
          </a:xfrm>
          <a:prstGeom prst="rect">
            <a:avLst/>
          </a:prstGeom>
          <a:solidFill>
            <a:schemeClr val="bg1"/>
          </a:solidFill>
          <a:ln w="222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cxnSp macro="">
        <xdr:nvCxnSpPr>
          <xdr:cNvPr id="67" name="Straight Connector 6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CxnSpPr/>
        </xdr:nvCxnSpPr>
        <xdr:spPr>
          <a:xfrm flipV="1">
            <a:off x="7957185" y="6433185"/>
            <a:ext cx="148590" cy="16002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Straight Connector 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CxnSpPr/>
        </xdr:nvCxnSpPr>
        <xdr:spPr>
          <a:xfrm flipH="1" flipV="1">
            <a:off x="7962901" y="6442710"/>
            <a:ext cx="150494" cy="14859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226695</xdr:colOff>
      <xdr:row>51</xdr:row>
      <xdr:rowOff>57060</xdr:rowOff>
    </xdr:from>
    <xdr:to>
      <xdr:col>6</xdr:col>
      <xdr:colOff>350520</xdr:colOff>
      <xdr:row>51</xdr:row>
      <xdr:rowOff>57150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>
          <a:endCxn id="66" idx="3"/>
        </xdr:cNvCxnSpPr>
      </xdr:nvCxnSpPr>
      <xdr:spPr>
        <a:xfrm flipH="1" flipV="1">
          <a:off x="2177415" y="9185820"/>
          <a:ext cx="710565" cy="9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382905</xdr:colOff>
      <xdr:row>46</xdr:row>
      <xdr:rowOff>47625</xdr:rowOff>
    </xdr:from>
    <xdr:to>
      <xdr:col>5</xdr:col>
      <xdr:colOff>582930</xdr:colOff>
      <xdr:row>51</xdr:row>
      <xdr:rowOff>57150</xdr:rowOff>
    </xdr:to>
    <xdr:grpSp>
      <xdr:nvGrpSpPr>
        <xdr:cNvPr id="70" name="Group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GrpSpPr/>
      </xdr:nvGrpSpPr>
      <xdr:grpSpPr>
        <a:xfrm>
          <a:off x="2333625" y="8292465"/>
          <a:ext cx="200025" cy="885825"/>
          <a:chOff x="8985885" y="6543675"/>
          <a:chExt cx="139065" cy="923925"/>
        </a:xfrm>
      </xdr:grpSpPr>
      <xdr:cxnSp macro="">
        <xdr:nvCxnSpPr>
          <xdr:cNvPr id="71" name="Straight Connector 7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CxnSpPr/>
        </xdr:nvCxnSpPr>
        <xdr:spPr>
          <a:xfrm>
            <a:off x="9056370" y="7187565"/>
            <a:ext cx="3810" cy="280035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Straight Connector 7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>
            <a:off x="9056370" y="6819900"/>
            <a:ext cx="66675" cy="3429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Straight Connector 72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CxnSpPr/>
        </xdr:nvCxnSpPr>
        <xdr:spPr>
          <a:xfrm flipV="1">
            <a:off x="9052560" y="7145655"/>
            <a:ext cx="68580" cy="40005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Straight Connector 73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CxnSpPr/>
        </xdr:nvCxnSpPr>
        <xdr:spPr>
          <a:xfrm>
            <a:off x="8985885" y="6926580"/>
            <a:ext cx="139065" cy="7239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Straight Connector 74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CxnSpPr/>
        </xdr:nvCxnSpPr>
        <xdr:spPr>
          <a:xfrm>
            <a:off x="8985885" y="7077075"/>
            <a:ext cx="139065" cy="7239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Straight Connector 7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CxnSpPr/>
        </xdr:nvCxnSpPr>
        <xdr:spPr>
          <a:xfrm flipV="1">
            <a:off x="8989695" y="6852285"/>
            <a:ext cx="131445" cy="7239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Straight Connector 76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CxnSpPr/>
        </xdr:nvCxnSpPr>
        <xdr:spPr>
          <a:xfrm flipV="1">
            <a:off x="8993505" y="7000875"/>
            <a:ext cx="131445" cy="7239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Straight Connector 7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CxnSpPr/>
        </xdr:nvCxnSpPr>
        <xdr:spPr>
          <a:xfrm>
            <a:off x="9054465" y="6543675"/>
            <a:ext cx="1905" cy="276225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139065</xdr:colOff>
      <xdr:row>46</xdr:row>
      <xdr:rowOff>55245</xdr:rowOff>
    </xdr:from>
    <xdr:to>
      <xdr:col>6</xdr:col>
      <xdr:colOff>542925</xdr:colOff>
      <xdr:row>51</xdr:row>
      <xdr:rowOff>62866</xdr:rowOff>
    </xdr:to>
    <xdr:grpSp>
      <xdr:nvGrpSpPr>
        <xdr:cNvPr id="79" name="Group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GrpSpPr/>
      </xdr:nvGrpSpPr>
      <xdr:grpSpPr>
        <a:xfrm>
          <a:off x="2676525" y="8300085"/>
          <a:ext cx="403860" cy="883921"/>
          <a:chOff x="9351645" y="6551295"/>
          <a:chExt cx="411480" cy="922021"/>
        </a:xfrm>
      </xdr:grpSpPr>
      <xdr:cxnSp macro="">
        <xdr:nvCxnSpPr>
          <xdr:cNvPr id="80" name="Straight Connector 79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CxnSpPr/>
        </xdr:nvCxnSpPr>
        <xdr:spPr>
          <a:xfrm flipH="1" flipV="1">
            <a:off x="9557385" y="6551295"/>
            <a:ext cx="1" cy="922021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1" name="Isosceles Triangle 80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/>
        </xdr:nvSpPr>
        <xdr:spPr>
          <a:xfrm rot="10800000">
            <a:off x="9351645" y="6812280"/>
            <a:ext cx="411480" cy="35814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2" name="Oval 81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/>
        </xdr:nvSpPr>
        <xdr:spPr>
          <a:xfrm>
            <a:off x="9536430" y="7168516"/>
            <a:ext cx="45719" cy="45719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6</xdr:col>
      <xdr:colOff>441960</xdr:colOff>
      <xdr:row>48</xdr:row>
      <xdr:rowOff>125730</xdr:rowOff>
    </xdr:from>
    <xdr:to>
      <xdr:col>7</xdr:col>
      <xdr:colOff>264795</xdr:colOff>
      <xdr:row>48</xdr:row>
      <xdr:rowOff>126596</xdr:rowOff>
    </xdr:to>
    <xdr:cxnSp macro="">
      <xdr:nvCxnSpPr>
        <xdr:cNvPr id="83" name="Straight Arrow Connector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CxnSpPr>
          <a:stCxn id="84" idx="1"/>
          <a:endCxn id="81" idx="1"/>
        </xdr:cNvCxnSpPr>
      </xdr:nvCxnSpPr>
      <xdr:spPr>
        <a:xfrm flipH="1">
          <a:off x="2979420" y="8728710"/>
          <a:ext cx="424815" cy="866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264795</xdr:colOff>
      <xdr:row>47</xdr:row>
      <xdr:rowOff>118110</xdr:rowOff>
    </xdr:from>
    <xdr:to>
      <xdr:col>8</xdr:col>
      <xdr:colOff>0</xdr:colOff>
      <xdr:row>49</xdr:row>
      <xdr:rowOff>133350</xdr:rowOff>
    </xdr:to>
    <xdr:sp macro="" textlink="">
      <xdr:nvSpPr>
        <xdr:cNvPr id="84" name="Rounded Rectangl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3404235" y="8545830"/>
          <a:ext cx="474345" cy="36576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SOSC Enable</a:t>
          </a:r>
        </a:p>
      </xdr:txBody>
    </xdr:sp>
    <xdr:clientData/>
  </xdr:twoCellAnchor>
  <xdr:twoCellAnchor>
    <xdr:from>
      <xdr:col>3</xdr:col>
      <xdr:colOff>556260</xdr:colOff>
      <xdr:row>47</xdr:row>
      <xdr:rowOff>148590</xdr:rowOff>
    </xdr:from>
    <xdr:to>
      <xdr:col>5</xdr:col>
      <xdr:colOff>251459</xdr:colOff>
      <xdr:row>49</xdr:row>
      <xdr:rowOff>171450</xdr:rowOff>
    </xdr:to>
    <xdr:sp macro="" textlink="">
      <xdr:nvSpPr>
        <xdr:cNvPr id="85" name="Rounded Rectangl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1539240" y="8576310"/>
          <a:ext cx="662939" cy="373380"/>
        </a:xfrm>
        <a:prstGeom prst="roundRect">
          <a:avLst/>
        </a:prstGeom>
        <a:solidFill>
          <a:srgbClr val="697C5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SOSC Oscillator</a:t>
          </a:r>
        </a:p>
      </xdr:txBody>
    </xdr:sp>
    <xdr:clientData/>
  </xdr:twoCellAnchor>
  <xdr:oneCellAnchor>
    <xdr:from>
      <xdr:col>1</xdr:col>
      <xdr:colOff>114300</xdr:colOff>
      <xdr:row>47</xdr:row>
      <xdr:rowOff>26670</xdr:rowOff>
    </xdr:from>
    <xdr:ext cx="975359" cy="64008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434340" y="8454390"/>
          <a:ext cx="975359" cy="640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External Secondary </a:t>
          </a:r>
          <a:r>
            <a:rPr lang="en-US" sz="1200" b="1" baseline="0">
              <a:latin typeface="Arial" pitchFamily="34" charset="0"/>
              <a:cs typeface="Arial" pitchFamily="34" charset="0"/>
            </a:rPr>
            <a:t>Oscillator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3</xdr:col>
      <xdr:colOff>563880</xdr:colOff>
      <xdr:row>40</xdr:row>
      <xdr:rowOff>160020</xdr:rowOff>
    </xdr:from>
    <xdr:to>
      <xdr:col>5</xdr:col>
      <xdr:colOff>297180</xdr:colOff>
      <xdr:row>44</xdr:row>
      <xdr:rowOff>0</xdr:rowOff>
    </xdr:to>
    <xdr:sp macro="" textlink="">
      <xdr:nvSpPr>
        <xdr:cNvPr id="87" name="Rounded Rectangl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1546860" y="7360920"/>
          <a:ext cx="701040" cy="541020"/>
        </a:xfrm>
        <a:prstGeom prst="roundRect">
          <a:avLst/>
        </a:prstGeom>
        <a:solidFill>
          <a:srgbClr val="697C5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LPRC Oscillator</a:t>
          </a:r>
        </a:p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32 KHz</a:t>
          </a:r>
        </a:p>
      </xdr:txBody>
    </xdr:sp>
    <xdr:clientData/>
  </xdr:twoCellAnchor>
  <xdr:twoCellAnchor>
    <xdr:from>
      <xdr:col>5</xdr:col>
      <xdr:colOff>297180</xdr:colOff>
      <xdr:row>42</xdr:row>
      <xdr:rowOff>80010</xdr:rowOff>
    </xdr:from>
    <xdr:to>
      <xdr:col>6</xdr:col>
      <xdr:colOff>304800</xdr:colOff>
      <xdr:row>42</xdr:row>
      <xdr:rowOff>81345</xdr:rowOff>
    </xdr:to>
    <xdr:cxnSp macro="">
      <xdr:nvCxnSpPr>
        <xdr:cNvPr id="88" name="Straight Arrow Connector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>
          <a:stCxn id="87" idx="3"/>
          <a:endCxn id="89" idx="1"/>
        </xdr:cNvCxnSpPr>
      </xdr:nvCxnSpPr>
      <xdr:spPr>
        <a:xfrm>
          <a:off x="2247900" y="7631430"/>
          <a:ext cx="594360" cy="133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304800</xdr:colOff>
      <xdr:row>41</xdr:row>
      <xdr:rowOff>121920</xdr:rowOff>
    </xdr:from>
    <xdr:ext cx="603563" cy="26936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2842260" y="7498080"/>
          <a:ext cx="60356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LPRC</a:t>
          </a:r>
        </a:p>
      </xdr:txBody>
    </xdr:sp>
    <xdr:clientData/>
  </xdr:oneCellAnchor>
  <xdr:oneCellAnchor>
    <xdr:from>
      <xdr:col>8</xdr:col>
      <xdr:colOff>464820</xdr:colOff>
      <xdr:row>45</xdr:row>
      <xdr:rowOff>91440</xdr:rowOff>
    </xdr:from>
    <xdr:ext cx="620811" cy="26936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4343400" y="8168640"/>
          <a:ext cx="62081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SOSC</a:t>
          </a:r>
        </a:p>
      </xdr:txBody>
    </xdr:sp>
    <xdr:clientData/>
  </xdr:oneCellAnchor>
  <xdr:twoCellAnchor>
    <xdr:from>
      <xdr:col>6</xdr:col>
      <xdr:colOff>342900</xdr:colOff>
      <xdr:row>32</xdr:row>
      <xdr:rowOff>102871</xdr:rowOff>
    </xdr:from>
    <xdr:to>
      <xdr:col>7</xdr:col>
      <xdr:colOff>7620</xdr:colOff>
      <xdr:row>32</xdr:row>
      <xdr:rowOff>104205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>
          <a:stCxn id="92" idx="1"/>
          <a:endCxn id="93" idx="3"/>
        </xdr:cNvCxnSpPr>
      </xdr:nvCxnSpPr>
      <xdr:spPr>
        <a:xfrm flipH="1" flipV="1">
          <a:off x="2880360" y="5901691"/>
          <a:ext cx="266700" cy="1334"/>
        </a:xfrm>
        <a:prstGeom prst="line">
          <a:avLst/>
        </a:prstGeom>
        <a:ln w="25400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7620</xdr:colOff>
      <xdr:row>31</xdr:row>
      <xdr:rowOff>144780</xdr:rowOff>
    </xdr:from>
    <xdr:ext cx="714683" cy="26936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3147060" y="5768340"/>
          <a:ext cx="71468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PBCLK</a:t>
          </a:r>
        </a:p>
      </xdr:txBody>
    </xdr:sp>
    <xdr:clientData/>
  </xdr:oneCellAnchor>
  <xdr:twoCellAnchor>
    <xdr:from>
      <xdr:col>5</xdr:col>
      <xdr:colOff>266700</xdr:colOff>
      <xdr:row>31</xdr:row>
      <xdr:rowOff>95251</xdr:rowOff>
    </xdr:from>
    <xdr:to>
      <xdr:col>6</xdr:col>
      <xdr:colOff>342900</xdr:colOff>
      <xdr:row>33</xdr:row>
      <xdr:rowOff>110491</xdr:rowOff>
    </xdr:to>
    <xdr:sp macro="" textlink="">
      <xdr:nvSpPr>
        <xdr:cNvPr id="93" name="Rounded Rectangl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217420" y="5718811"/>
          <a:ext cx="662940" cy="36576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CLK Out Enable</a:t>
          </a:r>
        </a:p>
      </xdr:txBody>
    </xdr:sp>
    <xdr:clientData/>
  </xdr:twoCellAnchor>
  <xdr:twoCellAnchor>
    <xdr:from>
      <xdr:col>6</xdr:col>
      <xdr:colOff>7620</xdr:colOff>
      <xdr:row>30</xdr:row>
      <xdr:rowOff>45720</xdr:rowOff>
    </xdr:from>
    <xdr:to>
      <xdr:col>6</xdr:col>
      <xdr:colOff>11430</xdr:colOff>
      <xdr:row>31</xdr:row>
      <xdr:rowOff>95251</xdr:rowOff>
    </xdr:to>
    <xdr:cxnSp macro="">
      <xdr:nvCxnSpPr>
        <xdr:cNvPr id="94" name="Straight Arrow Connector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>
          <a:stCxn id="93" idx="0"/>
        </xdr:cNvCxnSpPr>
      </xdr:nvCxnSpPr>
      <xdr:spPr>
        <a:xfrm flipH="1" flipV="1">
          <a:off x="2545080" y="5494020"/>
          <a:ext cx="3810" cy="224791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137160</xdr:colOff>
      <xdr:row>40</xdr:row>
      <xdr:rowOff>121920</xdr:rowOff>
    </xdr:from>
    <xdr:ext cx="1036319" cy="64008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457200" y="7322820"/>
          <a:ext cx="1036319" cy="640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Low Power RC </a:t>
          </a:r>
          <a:r>
            <a:rPr lang="en-US" sz="1200" b="1" baseline="0">
              <a:latin typeface="Arial" pitchFamily="34" charset="0"/>
              <a:cs typeface="Arial" pitchFamily="34" charset="0"/>
            </a:rPr>
            <a:t>Oscillator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13</xdr:col>
      <xdr:colOff>426720</xdr:colOff>
      <xdr:row>38</xdr:row>
      <xdr:rowOff>171454</xdr:rowOff>
    </xdr:from>
    <xdr:to>
      <xdr:col>13</xdr:col>
      <xdr:colOff>731520</xdr:colOff>
      <xdr:row>53</xdr:row>
      <xdr:rowOff>3</xdr:rowOff>
    </xdr:to>
    <xdr:sp macro="" textlink="">
      <xdr:nvSpPr>
        <xdr:cNvPr id="96" name="Trapezoid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 rot="5400000">
          <a:off x="6322695" y="8098159"/>
          <a:ext cx="2457449" cy="304800"/>
        </a:xfrm>
        <a:prstGeom prst="trapezoid">
          <a:avLst>
            <a:gd name="adj" fmla="val 75000"/>
          </a:avLst>
        </a:prstGeom>
        <a:solidFill>
          <a:srgbClr val="C0C0C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99060</xdr:colOff>
      <xdr:row>40</xdr:row>
      <xdr:rowOff>7621</xdr:rowOff>
    </xdr:from>
    <xdr:to>
      <xdr:col>13</xdr:col>
      <xdr:colOff>411480</xdr:colOff>
      <xdr:row>40</xdr:row>
      <xdr:rowOff>15240</xdr:rowOff>
    </xdr:to>
    <xdr:cxnSp macro="">
      <xdr:nvCxnSpPr>
        <xdr:cNvPr id="97" name="Straight Arrow Connector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>
          <a:stCxn id="98" idx="3"/>
        </xdr:cNvCxnSpPr>
      </xdr:nvCxnSpPr>
      <xdr:spPr>
        <a:xfrm>
          <a:off x="6560820" y="7208521"/>
          <a:ext cx="822960" cy="7619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372333</xdr:colOff>
      <xdr:row>38</xdr:row>
      <xdr:rowOff>129541</xdr:rowOff>
    </xdr:from>
    <xdr:ext cx="1570767" cy="45720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4990053" y="6979921"/>
          <a:ext cx="1570767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r"/>
          <a:r>
            <a:rPr lang="en-US" sz="1200" b="1">
              <a:latin typeface="Arial" pitchFamily="34" charset="0"/>
              <a:cs typeface="Arial" pitchFamily="34" charset="0"/>
            </a:rPr>
            <a:t>XTPLL, HSPLL, ECPLL, FRCPLL</a:t>
          </a:r>
        </a:p>
      </xdr:txBody>
    </xdr:sp>
    <xdr:clientData/>
  </xdr:oneCellAnchor>
  <xdr:twoCellAnchor>
    <xdr:from>
      <xdr:col>12</xdr:col>
      <xdr:colOff>106202</xdr:colOff>
      <xdr:row>42</xdr:row>
      <xdr:rowOff>1335</xdr:rowOff>
    </xdr:from>
    <xdr:to>
      <xdr:col>13</xdr:col>
      <xdr:colOff>415290</xdr:colOff>
      <xdr:row>42</xdr:row>
      <xdr:rowOff>1905</xdr:rowOff>
    </xdr:to>
    <xdr:cxnSp macro="">
      <xdr:nvCxnSpPr>
        <xdr:cNvPr id="99" name="Straight Arrow Connector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CxnSpPr>
          <a:stCxn id="100" idx="3"/>
        </xdr:cNvCxnSpPr>
      </xdr:nvCxnSpPr>
      <xdr:spPr>
        <a:xfrm>
          <a:off x="6567962" y="7552755"/>
          <a:ext cx="819628" cy="57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696971</xdr:colOff>
      <xdr:row>41</xdr:row>
      <xdr:rowOff>41910</xdr:rowOff>
    </xdr:from>
    <xdr:ext cx="620811" cy="26936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5947151" y="7418070"/>
          <a:ext cx="62081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en-US" sz="1200" b="1">
              <a:latin typeface="Arial" pitchFamily="34" charset="0"/>
              <a:cs typeface="Arial" pitchFamily="34" charset="0"/>
            </a:rPr>
            <a:t>POSC</a:t>
          </a:r>
        </a:p>
      </xdr:txBody>
    </xdr:sp>
    <xdr:clientData/>
  </xdr:oneCellAnchor>
  <xdr:twoCellAnchor>
    <xdr:from>
      <xdr:col>12</xdr:col>
      <xdr:colOff>46250</xdr:colOff>
      <xdr:row>44</xdr:row>
      <xdr:rowOff>1335</xdr:rowOff>
    </xdr:from>
    <xdr:to>
      <xdr:col>13</xdr:col>
      <xdr:colOff>417195</xdr:colOff>
      <xdr:row>44</xdr:row>
      <xdr:rowOff>3810</xdr:rowOff>
    </xdr:to>
    <xdr:cxnSp macro="">
      <xdr:nvCxnSpPr>
        <xdr:cNvPr id="101" name="Straight Arrow Connector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CxnSpPr>
          <a:stCxn id="102" idx="3"/>
        </xdr:cNvCxnSpPr>
      </xdr:nvCxnSpPr>
      <xdr:spPr>
        <a:xfrm>
          <a:off x="6508010" y="7903275"/>
          <a:ext cx="881485" cy="247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17784</xdr:colOff>
      <xdr:row>43</xdr:row>
      <xdr:rowOff>41910</xdr:rowOff>
    </xdr:from>
    <xdr:ext cx="500906" cy="26936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6007104" y="7768590"/>
          <a:ext cx="500906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en-US" sz="1200" b="1">
              <a:latin typeface="Arial" pitchFamily="34" charset="0"/>
              <a:cs typeface="Arial" pitchFamily="34" charset="0"/>
            </a:rPr>
            <a:t>FRC</a:t>
          </a:r>
        </a:p>
      </xdr:txBody>
    </xdr:sp>
    <xdr:clientData/>
  </xdr:oneCellAnchor>
  <xdr:twoCellAnchor>
    <xdr:from>
      <xdr:col>12</xdr:col>
      <xdr:colOff>153235</xdr:colOff>
      <xdr:row>45</xdr:row>
      <xdr:rowOff>174690</xdr:rowOff>
    </xdr:from>
    <xdr:to>
      <xdr:col>13</xdr:col>
      <xdr:colOff>417195</xdr:colOff>
      <xdr:row>46</xdr:row>
      <xdr:rowOff>1905</xdr:rowOff>
    </xdr:to>
    <xdr:cxnSp macro="">
      <xdr:nvCxnSpPr>
        <xdr:cNvPr id="103" name="Straight Arrow Connector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CxnSpPr>
          <a:stCxn id="104" idx="3"/>
        </xdr:cNvCxnSpPr>
      </xdr:nvCxnSpPr>
      <xdr:spPr>
        <a:xfrm>
          <a:off x="6614995" y="8251890"/>
          <a:ext cx="774500" cy="247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649940</xdr:colOff>
      <xdr:row>45</xdr:row>
      <xdr:rowOff>40005</xdr:rowOff>
    </xdr:from>
    <xdr:ext cx="714875" cy="26936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5900120" y="8117205"/>
          <a:ext cx="71487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en-US" sz="1200" b="1">
              <a:latin typeface="Arial" pitchFamily="34" charset="0"/>
              <a:cs typeface="Arial" pitchFamily="34" charset="0"/>
            </a:rPr>
            <a:t>FRC/16</a:t>
          </a:r>
        </a:p>
      </xdr:txBody>
    </xdr:sp>
    <xdr:clientData/>
  </xdr:oneCellAnchor>
  <xdr:twoCellAnchor>
    <xdr:from>
      <xdr:col>12</xdr:col>
      <xdr:colOff>174524</xdr:colOff>
      <xdr:row>48</xdr:row>
      <xdr:rowOff>1335</xdr:rowOff>
    </xdr:from>
    <xdr:to>
      <xdr:col>13</xdr:col>
      <xdr:colOff>413385</xdr:colOff>
      <xdr:row>48</xdr:row>
      <xdr:rowOff>5715</xdr:rowOff>
    </xdr:to>
    <xdr:cxnSp macro="">
      <xdr:nvCxnSpPr>
        <xdr:cNvPr id="105" name="Straight Arrow Connector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CxnSpPr>
          <a:stCxn id="106" idx="3"/>
        </xdr:cNvCxnSpPr>
      </xdr:nvCxnSpPr>
      <xdr:spPr>
        <a:xfrm>
          <a:off x="6636284" y="8604315"/>
          <a:ext cx="749401" cy="438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628653</xdr:colOff>
      <xdr:row>47</xdr:row>
      <xdr:rowOff>41910</xdr:rowOff>
    </xdr:from>
    <xdr:ext cx="757451" cy="26936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5878833" y="8469630"/>
          <a:ext cx="75745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en-US" sz="1200" b="1">
              <a:latin typeface="Arial" pitchFamily="34" charset="0"/>
              <a:cs typeface="Arial" pitchFamily="34" charset="0"/>
            </a:rPr>
            <a:t>FRCDIV</a:t>
          </a:r>
        </a:p>
      </xdr:txBody>
    </xdr:sp>
    <xdr:clientData/>
  </xdr:oneCellAnchor>
  <xdr:twoCellAnchor>
    <xdr:from>
      <xdr:col>12</xdr:col>
      <xdr:colOff>97578</xdr:colOff>
      <xdr:row>49</xdr:row>
      <xdr:rowOff>174690</xdr:rowOff>
    </xdr:from>
    <xdr:to>
      <xdr:col>13</xdr:col>
      <xdr:colOff>413385</xdr:colOff>
      <xdr:row>50</xdr:row>
      <xdr:rowOff>3810</xdr:rowOff>
    </xdr:to>
    <xdr:cxnSp macro="">
      <xdr:nvCxnSpPr>
        <xdr:cNvPr id="107" name="Straight Arrow Connector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CxnSpPr>
          <a:stCxn id="108" idx="3"/>
        </xdr:cNvCxnSpPr>
      </xdr:nvCxnSpPr>
      <xdr:spPr>
        <a:xfrm>
          <a:off x="6559338" y="8952930"/>
          <a:ext cx="826347" cy="438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705595</xdr:colOff>
      <xdr:row>49</xdr:row>
      <xdr:rowOff>40005</xdr:rowOff>
    </xdr:from>
    <xdr:ext cx="603563" cy="26936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5955775" y="8818245"/>
          <a:ext cx="60356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en-US" sz="1200" b="1">
              <a:latin typeface="Arial" pitchFamily="34" charset="0"/>
              <a:cs typeface="Arial" pitchFamily="34" charset="0"/>
            </a:rPr>
            <a:t>LPRC</a:t>
          </a:r>
        </a:p>
      </xdr:txBody>
    </xdr:sp>
    <xdr:clientData/>
  </xdr:oneCellAnchor>
  <xdr:twoCellAnchor>
    <xdr:from>
      <xdr:col>13</xdr:col>
      <xdr:colOff>737235</xdr:colOff>
      <xdr:row>48</xdr:row>
      <xdr:rowOff>95250</xdr:rowOff>
    </xdr:from>
    <xdr:to>
      <xdr:col>15</xdr:col>
      <xdr:colOff>380396</xdr:colOff>
      <xdr:row>48</xdr:row>
      <xdr:rowOff>96585</xdr:rowOff>
    </xdr:to>
    <xdr:cxnSp macro="">
      <xdr:nvCxnSpPr>
        <xdr:cNvPr id="109" name="Straight Arrow Connector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CxnSpPr>
          <a:endCxn id="110" idx="1"/>
        </xdr:cNvCxnSpPr>
      </xdr:nvCxnSpPr>
      <xdr:spPr>
        <a:xfrm>
          <a:off x="7709535" y="8698230"/>
          <a:ext cx="1045241" cy="133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380396</xdr:colOff>
      <xdr:row>47</xdr:row>
      <xdr:rowOff>137160</xdr:rowOff>
    </xdr:from>
    <xdr:ext cx="941541" cy="269369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8754776" y="8564880"/>
          <a:ext cx="94154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SYSCLK =</a:t>
          </a:r>
        </a:p>
      </xdr:txBody>
    </xdr:sp>
    <xdr:clientData/>
  </xdr:oneCellAnchor>
  <xdr:twoCellAnchor>
    <xdr:from>
      <xdr:col>13</xdr:col>
      <xdr:colOff>586740</xdr:colOff>
      <xdr:row>52</xdr:row>
      <xdr:rowOff>68580</xdr:rowOff>
    </xdr:from>
    <xdr:to>
      <xdr:col>13</xdr:col>
      <xdr:colOff>586740</xdr:colOff>
      <xdr:row>54</xdr:row>
      <xdr:rowOff>167640</xdr:rowOff>
    </xdr:to>
    <xdr:cxnSp macro="">
      <xdr:nvCxnSpPr>
        <xdr:cNvPr id="111" name="Straight Arrow Connector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CxnSpPr/>
      </xdr:nvCxnSpPr>
      <xdr:spPr>
        <a:xfrm flipV="1">
          <a:off x="7559040" y="9372600"/>
          <a:ext cx="0" cy="44958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121920</xdr:colOff>
      <xdr:row>44</xdr:row>
      <xdr:rowOff>173355</xdr:rowOff>
    </xdr:from>
    <xdr:to>
      <xdr:col>16</xdr:col>
      <xdr:colOff>281940</xdr:colOff>
      <xdr:row>46</xdr:row>
      <xdr:rowOff>43815</xdr:rowOff>
    </xdr:to>
    <xdr:sp macro="" textlink="">
      <xdr:nvSpPr>
        <xdr:cNvPr id="112" name="Rounded Rectangl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8496300" y="8075295"/>
          <a:ext cx="556260" cy="22098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Divider</a:t>
          </a:r>
        </a:p>
      </xdr:txBody>
    </xdr:sp>
    <xdr:clientData/>
  </xdr:twoCellAnchor>
  <xdr:oneCellAnchor>
    <xdr:from>
      <xdr:col>16</xdr:col>
      <xdr:colOff>473214</xdr:colOff>
      <xdr:row>44</xdr:row>
      <xdr:rowOff>150495</xdr:rowOff>
    </xdr:from>
    <xdr:ext cx="847347" cy="269369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9243834" y="8052435"/>
          <a:ext cx="84734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PBCLK =</a:t>
          </a:r>
        </a:p>
      </xdr:txBody>
    </xdr:sp>
    <xdr:clientData/>
  </xdr:oneCellAnchor>
  <xdr:twoCellAnchor>
    <xdr:from>
      <xdr:col>16</xdr:col>
      <xdr:colOff>281940</xdr:colOff>
      <xdr:row>45</xdr:row>
      <xdr:rowOff>108585</xdr:rowOff>
    </xdr:from>
    <xdr:to>
      <xdr:col>16</xdr:col>
      <xdr:colOff>473214</xdr:colOff>
      <xdr:row>45</xdr:row>
      <xdr:rowOff>109920</xdr:rowOff>
    </xdr:to>
    <xdr:cxnSp macro="">
      <xdr:nvCxnSpPr>
        <xdr:cNvPr id="114" name="Straight Arrow Connector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CxnSpPr>
          <a:stCxn id="112" idx="3"/>
          <a:endCxn id="113" idx="1"/>
        </xdr:cNvCxnSpPr>
      </xdr:nvCxnSpPr>
      <xdr:spPr>
        <a:xfrm>
          <a:off x="9052560" y="8185785"/>
          <a:ext cx="191274" cy="133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335280</xdr:colOff>
      <xdr:row>45</xdr:row>
      <xdr:rowOff>106680</xdr:rowOff>
    </xdr:from>
    <xdr:to>
      <xdr:col>15</xdr:col>
      <xdr:colOff>121920</xdr:colOff>
      <xdr:row>45</xdr:row>
      <xdr:rowOff>108585</xdr:rowOff>
    </xdr:to>
    <xdr:cxnSp macro="">
      <xdr:nvCxnSpPr>
        <xdr:cNvPr id="115" name="Straight Arrow Connector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CxnSpPr>
          <a:endCxn id="112" idx="1"/>
        </xdr:cNvCxnSpPr>
      </xdr:nvCxnSpPr>
      <xdr:spPr>
        <a:xfrm>
          <a:off x="8046720" y="8183880"/>
          <a:ext cx="449580" cy="190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327660</xdr:colOff>
      <xdr:row>45</xdr:row>
      <xdr:rowOff>114300</xdr:rowOff>
    </xdr:from>
    <xdr:to>
      <xdr:col>14</xdr:col>
      <xdr:colOff>327660</xdr:colOff>
      <xdr:row>48</xdr:row>
      <xdr:rowOff>106680</xdr:rowOff>
    </xdr:to>
    <xdr:cxnSp macro="">
      <xdr:nvCxnSpPr>
        <xdr:cNvPr id="116" name="Straight Arrow Connector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CxnSpPr/>
      </xdr:nvCxnSpPr>
      <xdr:spPr>
        <a:xfrm>
          <a:off x="8039100" y="8191500"/>
          <a:ext cx="0" cy="51816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464821</xdr:colOff>
      <xdr:row>3</xdr:row>
      <xdr:rowOff>114300</xdr:rowOff>
    </xdr:from>
    <xdr:ext cx="2964179" cy="4800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5082541" y="822960"/>
          <a:ext cx="2964179" cy="48006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45720" tIns="18288" rIns="45720" bIns="18288" rtlCol="0" anchor="t">
          <a:noAutofit/>
        </a:bodyPr>
        <a:lstStyle/>
        <a:p>
          <a:r>
            <a:rPr lang="en-US" sz="1400" b="1">
              <a:latin typeface="Arial" pitchFamily="34" charset="0"/>
              <a:cs typeface="Arial" pitchFamily="34" charset="0"/>
            </a:rPr>
            <a:t>Click on highlighted cells and select settings per drop-down list</a:t>
          </a:r>
        </a:p>
      </xdr:txBody>
    </xdr:sp>
    <xdr:clientData/>
  </xdr:oneCellAnchor>
  <xdr:twoCellAnchor>
    <xdr:from>
      <xdr:col>9</xdr:col>
      <xdr:colOff>335280</xdr:colOff>
      <xdr:row>6</xdr:row>
      <xdr:rowOff>106680</xdr:rowOff>
    </xdr:from>
    <xdr:to>
      <xdr:col>10</xdr:col>
      <xdr:colOff>68580</xdr:colOff>
      <xdr:row>8</xdr:row>
      <xdr:rowOff>129540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CxnSpPr/>
      </xdr:nvCxnSpPr>
      <xdr:spPr>
        <a:xfrm flipH="1">
          <a:off x="4953000" y="1341120"/>
          <a:ext cx="365760" cy="373380"/>
        </a:xfrm>
        <a:prstGeom prst="straightConnector1">
          <a:avLst/>
        </a:prstGeom>
        <a:ln w="381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99061</xdr:colOff>
      <xdr:row>15</xdr:row>
      <xdr:rowOff>129540</xdr:rowOff>
    </xdr:from>
    <xdr:ext cx="1828799" cy="4800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99061" y="2948940"/>
          <a:ext cx="1828799" cy="48006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45720" tIns="18288" rIns="45720" bIns="18288" rtlCol="0" anchor="t">
          <a:noAutofit/>
        </a:bodyPr>
        <a:lstStyle/>
        <a:p>
          <a:r>
            <a:rPr lang="en-US" sz="1400" b="1">
              <a:latin typeface="Arial" pitchFamily="34" charset="0"/>
              <a:cs typeface="Arial" pitchFamily="34" charset="0"/>
            </a:rPr>
            <a:t>Enter</a:t>
          </a:r>
          <a:r>
            <a:rPr lang="en-US" sz="1400" b="1" baseline="0">
              <a:latin typeface="Arial" pitchFamily="34" charset="0"/>
              <a:cs typeface="Arial" pitchFamily="34" charset="0"/>
            </a:rPr>
            <a:t> external clock or crystal frequency</a:t>
          </a:r>
          <a:endParaRPr lang="en-US" sz="14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4</xdr:col>
      <xdr:colOff>0</xdr:colOff>
      <xdr:row>18</xdr:row>
      <xdr:rowOff>137160</xdr:rowOff>
    </xdr:from>
    <xdr:to>
      <xdr:col>4</xdr:col>
      <xdr:colOff>152400</xdr:colOff>
      <xdr:row>20</xdr:row>
      <xdr:rowOff>137160</xdr:rowOff>
    </xdr:to>
    <xdr:cxnSp macro="">
      <xdr:nvCxnSpPr>
        <xdr:cNvPr id="121" name="Straight Arrow Connector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CxnSpPr/>
      </xdr:nvCxnSpPr>
      <xdr:spPr>
        <a:xfrm>
          <a:off x="1554480" y="3482340"/>
          <a:ext cx="152400" cy="350520"/>
        </a:xfrm>
        <a:prstGeom prst="straightConnector1">
          <a:avLst/>
        </a:prstGeom>
        <a:ln w="381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213360</xdr:colOff>
      <xdr:row>56</xdr:row>
      <xdr:rowOff>7620</xdr:rowOff>
    </xdr:from>
    <xdr:to>
      <xdr:col>8</xdr:col>
      <xdr:colOff>571500</xdr:colOff>
      <xdr:row>73</xdr:row>
      <xdr:rowOff>83820</xdr:rowOff>
    </xdr:to>
    <xdr:sp macro="" textlink="">
      <xdr:nvSpPr>
        <xdr:cNvPr id="122" name="Rectangl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861060" y="10035540"/>
          <a:ext cx="3589020" cy="305562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213360</xdr:colOff>
      <xdr:row>66</xdr:row>
      <xdr:rowOff>45720</xdr:rowOff>
    </xdr:from>
    <xdr:to>
      <xdr:col>8</xdr:col>
      <xdr:colOff>571500</xdr:colOff>
      <xdr:row>66</xdr:row>
      <xdr:rowOff>45720</xdr:rowOff>
    </xdr:to>
    <xdr:cxnSp macro="">
      <xdr:nvCxnSpPr>
        <xdr:cNvPr id="123" name="Straight Arrow Connector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CxnSpPr>
          <a:stCxn id="122" idx="1"/>
          <a:endCxn id="122" idx="3"/>
        </xdr:cNvCxnSpPr>
      </xdr:nvCxnSpPr>
      <xdr:spPr>
        <a:xfrm>
          <a:off x="861060" y="11826240"/>
          <a:ext cx="3589020" cy="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211455</xdr:colOff>
      <xdr:row>59</xdr:row>
      <xdr:rowOff>121920</xdr:rowOff>
    </xdr:from>
    <xdr:to>
      <xdr:col>8</xdr:col>
      <xdr:colOff>579120</xdr:colOff>
      <xdr:row>59</xdr:row>
      <xdr:rowOff>123825</xdr:rowOff>
    </xdr:to>
    <xdr:cxnSp macro="">
      <xdr:nvCxnSpPr>
        <xdr:cNvPr id="124" name="Straight Arrow Connector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CxnSpPr/>
      </xdr:nvCxnSpPr>
      <xdr:spPr>
        <a:xfrm flipV="1">
          <a:off x="859155" y="10675620"/>
          <a:ext cx="3598545" cy="190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434340</xdr:colOff>
      <xdr:row>82</xdr:row>
      <xdr:rowOff>160020</xdr:rowOff>
    </xdr:from>
    <xdr:to>
      <xdr:col>25</xdr:col>
      <xdr:colOff>411480</xdr:colOff>
      <xdr:row>108</xdr:row>
      <xdr:rowOff>160020</xdr:rowOff>
    </xdr:to>
    <xdr:sp macro="" textlink="">
      <xdr:nvSpPr>
        <xdr:cNvPr id="125" name="Rectangl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896100" y="14737080"/>
          <a:ext cx="7231380" cy="4572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434340</xdr:colOff>
      <xdr:row>86</xdr:row>
      <xdr:rowOff>38100</xdr:rowOff>
    </xdr:from>
    <xdr:to>
      <xdr:col>25</xdr:col>
      <xdr:colOff>411480</xdr:colOff>
      <xdr:row>86</xdr:row>
      <xdr:rowOff>41910</xdr:rowOff>
    </xdr:to>
    <xdr:cxnSp macro="">
      <xdr:nvCxnSpPr>
        <xdr:cNvPr id="126" name="Straight Arrow Connector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CxnSpPr/>
      </xdr:nvCxnSpPr>
      <xdr:spPr>
        <a:xfrm flipV="1">
          <a:off x="6896100" y="15323820"/>
          <a:ext cx="7231380" cy="381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640080</xdr:colOff>
      <xdr:row>7</xdr:row>
      <xdr:rowOff>121920</xdr:rowOff>
    </xdr:from>
    <xdr:to>
      <xdr:col>21</xdr:col>
      <xdr:colOff>106680</xdr:colOff>
      <xdr:row>12</xdr:row>
      <xdr:rowOff>45720</xdr:rowOff>
    </xdr:to>
    <xdr:sp macro="" textlink="">
      <xdr:nvSpPr>
        <xdr:cNvPr id="127" name="Rectangle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8351520" y="1531620"/>
          <a:ext cx="3177540" cy="80772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430530</xdr:colOff>
      <xdr:row>57</xdr:row>
      <xdr:rowOff>167641</xdr:rowOff>
    </xdr:from>
    <xdr:to>
      <xdr:col>13</xdr:col>
      <xdr:colOff>735330</xdr:colOff>
      <xdr:row>76</xdr:row>
      <xdr:rowOff>3</xdr:rowOff>
    </xdr:to>
    <xdr:sp macro="" textlink="">
      <xdr:nvSpPr>
        <xdr:cNvPr id="128" name="Trapezoid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 rot="5400000">
          <a:off x="5974079" y="11799572"/>
          <a:ext cx="3162302" cy="304800"/>
        </a:xfrm>
        <a:prstGeom prst="trapezoid">
          <a:avLst>
            <a:gd name="adj" fmla="val 75000"/>
          </a:avLst>
        </a:prstGeom>
        <a:solidFill>
          <a:srgbClr val="C0C0C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50058</xdr:colOff>
      <xdr:row>58</xdr:row>
      <xdr:rowOff>174687</xdr:rowOff>
    </xdr:from>
    <xdr:to>
      <xdr:col>13</xdr:col>
      <xdr:colOff>421005</xdr:colOff>
      <xdr:row>58</xdr:row>
      <xdr:rowOff>175257</xdr:rowOff>
    </xdr:to>
    <xdr:cxnSp macro="">
      <xdr:nvCxnSpPr>
        <xdr:cNvPr id="129" name="Straight Arrow Connector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CxnSpPr>
          <a:stCxn id="130" idx="3"/>
        </xdr:cNvCxnSpPr>
      </xdr:nvCxnSpPr>
      <xdr:spPr>
        <a:xfrm>
          <a:off x="6511818" y="10553127"/>
          <a:ext cx="881487" cy="57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21592</xdr:colOff>
      <xdr:row>58</xdr:row>
      <xdr:rowOff>40002</xdr:rowOff>
    </xdr:from>
    <xdr:ext cx="500906" cy="269369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6010912" y="10418442"/>
          <a:ext cx="500906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en-US" sz="1200" b="1">
              <a:latin typeface="Arial" pitchFamily="34" charset="0"/>
              <a:cs typeface="Arial" pitchFamily="34" charset="0"/>
            </a:rPr>
            <a:t>FRC</a:t>
          </a:r>
        </a:p>
      </xdr:txBody>
    </xdr:sp>
    <xdr:clientData/>
  </xdr:oneCellAnchor>
  <xdr:twoCellAnchor>
    <xdr:from>
      <xdr:col>12</xdr:col>
      <xdr:colOff>88596</xdr:colOff>
      <xdr:row>60</xdr:row>
      <xdr:rowOff>172782</xdr:rowOff>
    </xdr:from>
    <xdr:to>
      <xdr:col>13</xdr:col>
      <xdr:colOff>419100</xdr:colOff>
      <xdr:row>60</xdr:row>
      <xdr:rowOff>173352</xdr:rowOff>
    </xdr:to>
    <xdr:cxnSp macro="">
      <xdr:nvCxnSpPr>
        <xdr:cNvPr id="131" name="Straight Arrow Connector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CxnSpPr>
          <a:stCxn id="132" idx="3"/>
        </xdr:cNvCxnSpPr>
      </xdr:nvCxnSpPr>
      <xdr:spPr>
        <a:xfrm>
          <a:off x="6550356" y="10901742"/>
          <a:ext cx="841044" cy="57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559311</xdr:colOff>
      <xdr:row>60</xdr:row>
      <xdr:rowOff>38097</xdr:rowOff>
    </xdr:from>
    <xdr:ext cx="1373325" cy="269369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5177031" y="10767057"/>
          <a:ext cx="137332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en-US" sz="1200" b="1">
              <a:latin typeface="Arial" pitchFamily="34" charset="0"/>
              <a:cs typeface="Arial" pitchFamily="34" charset="0"/>
            </a:rPr>
            <a:t>System PLL Out</a:t>
          </a:r>
        </a:p>
      </xdr:txBody>
    </xdr:sp>
    <xdr:clientData/>
  </xdr:oneCellAnchor>
  <xdr:twoCellAnchor>
    <xdr:from>
      <xdr:col>12</xdr:col>
      <xdr:colOff>110012</xdr:colOff>
      <xdr:row>62</xdr:row>
      <xdr:rowOff>172782</xdr:rowOff>
    </xdr:from>
    <xdr:to>
      <xdr:col>13</xdr:col>
      <xdr:colOff>421005</xdr:colOff>
      <xdr:row>62</xdr:row>
      <xdr:rowOff>175257</xdr:rowOff>
    </xdr:to>
    <xdr:cxnSp macro="">
      <xdr:nvCxnSpPr>
        <xdr:cNvPr id="133" name="Straight Arrow Connector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CxnSpPr>
          <a:stCxn id="134" idx="3"/>
        </xdr:cNvCxnSpPr>
      </xdr:nvCxnSpPr>
      <xdr:spPr>
        <a:xfrm>
          <a:off x="6571772" y="11252262"/>
          <a:ext cx="821533" cy="247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700781</xdr:colOff>
      <xdr:row>62</xdr:row>
      <xdr:rowOff>38097</xdr:rowOff>
    </xdr:from>
    <xdr:ext cx="620811" cy="269369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5950961" y="11117577"/>
          <a:ext cx="62081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en-US" sz="1200" b="1">
              <a:latin typeface="Arial" pitchFamily="34" charset="0"/>
              <a:cs typeface="Arial" pitchFamily="34" charset="0"/>
            </a:rPr>
            <a:t>POSC</a:t>
          </a:r>
        </a:p>
      </xdr:txBody>
    </xdr:sp>
    <xdr:clientData/>
  </xdr:oneCellAnchor>
  <xdr:twoCellAnchor>
    <xdr:from>
      <xdr:col>12</xdr:col>
      <xdr:colOff>101390</xdr:colOff>
      <xdr:row>66</xdr:row>
      <xdr:rowOff>172782</xdr:rowOff>
    </xdr:from>
    <xdr:to>
      <xdr:col>13</xdr:col>
      <xdr:colOff>417195</xdr:colOff>
      <xdr:row>67</xdr:row>
      <xdr:rowOff>1902</xdr:rowOff>
    </xdr:to>
    <xdr:cxnSp macro="">
      <xdr:nvCxnSpPr>
        <xdr:cNvPr id="135" name="Straight Arrow Connector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CxnSpPr>
          <a:stCxn id="136" idx="3"/>
        </xdr:cNvCxnSpPr>
      </xdr:nvCxnSpPr>
      <xdr:spPr>
        <a:xfrm>
          <a:off x="6563150" y="11953302"/>
          <a:ext cx="826345" cy="438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709407</xdr:colOff>
      <xdr:row>66</xdr:row>
      <xdr:rowOff>38097</xdr:rowOff>
    </xdr:from>
    <xdr:ext cx="603563" cy="269369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959587" y="11818617"/>
          <a:ext cx="60356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LPRC</a:t>
          </a:r>
        </a:p>
      </xdr:txBody>
    </xdr:sp>
    <xdr:clientData/>
  </xdr:oneCellAnchor>
  <xdr:twoCellAnchor>
    <xdr:from>
      <xdr:col>12</xdr:col>
      <xdr:colOff>110012</xdr:colOff>
      <xdr:row>68</xdr:row>
      <xdr:rowOff>170877</xdr:rowOff>
    </xdr:from>
    <xdr:to>
      <xdr:col>13</xdr:col>
      <xdr:colOff>417195</xdr:colOff>
      <xdr:row>68</xdr:row>
      <xdr:rowOff>175257</xdr:rowOff>
    </xdr:to>
    <xdr:cxnSp macro="">
      <xdr:nvCxnSpPr>
        <xdr:cNvPr id="137" name="Straight Arrow Connector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CxnSpPr>
          <a:stCxn id="138" idx="3"/>
        </xdr:cNvCxnSpPr>
      </xdr:nvCxnSpPr>
      <xdr:spPr>
        <a:xfrm>
          <a:off x="6571772" y="12301917"/>
          <a:ext cx="817723" cy="438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700781</xdr:colOff>
      <xdr:row>68</xdr:row>
      <xdr:rowOff>36192</xdr:rowOff>
    </xdr:from>
    <xdr:ext cx="620811" cy="269369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950961" y="12167232"/>
          <a:ext cx="62081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SOSC</a:t>
          </a:r>
        </a:p>
      </xdr:txBody>
    </xdr:sp>
    <xdr:clientData/>
  </xdr:oneCellAnchor>
  <xdr:twoCellAnchor>
    <xdr:from>
      <xdr:col>13</xdr:col>
      <xdr:colOff>735330</xdr:colOff>
      <xdr:row>67</xdr:row>
      <xdr:rowOff>93255</xdr:rowOff>
    </xdr:from>
    <xdr:to>
      <xdr:col>19</xdr:col>
      <xdr:colOff>226695</xdr:colOff>
      <xdr:row>67</xdr:row>
      <xdr:rowOff>95252</xdr:rowOff>
    </xdr:to>
    <xdr:cxnSp macro="">
      <xdr:nvCxnSpPr>
        <xdr:cNvPr id="139" name="Straight Arrow Connector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CxnSpPr>
          <a:endCxn id="155" idx="1"/>
        </xdr:cNvCxnSpPr>
      </xdr:nvCxnSpPr>
      <xdr:spPr>
        <a:xfrm flipV="1">
          <a:off x="7707630" y="12049035"/>
          <a:ext cx="2981325" cy="1997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590550</xdr:colOff>
      <xdr:row>75</xdr:row>
      <xdr:rowOff>87627</xdr:rowOff>
    </xdr:from>
    <xdr:to>
      <xdr:col>13</xdr:col>
      <xdr:colOff>590550</xdr:colOff>
      <xdr:row>77</xdr:row>
      <xdr:rowOff>163827</xdr:rowOff>
    </xdr:to>
    <xdr:cxnSp macro="">
      <xdr:nvCxnSpPr>
        <xdr:cNvPr id="140" name="Straight Arrow Connector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CxnSpPr/>
      </xdr:nvCxnSpPr>
      <xdr:spPr>
        <a:xfrm flipV="1">
          <a:off x="7562850" y="13445487"/>
          <a:ext cx="0" cy="42672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105620</xdr:colOff>
      <xdr:row>64</xdr:row>
      <xdr:rowOff>170877</xdr:rowOff>
    </xdr:from>
    <xdr:to>
      <xdr:col>13</xdr:col>
      <xdr:colOff>421005</xdr:colOff>
      <xdr:row>64</xdr:row>
      <xdr:rowOff>173352</xdr:rowOff>
    </xdr:to>
    <xdr:cxnSp macro="">
      <xdr:nvCxnSpPr>
        <xdr:cNvPr id="141" name="Straight Arrow Connector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CxnSpPr/>
      </xdr:nvCxnSpPr>
      <xdr:spPr>
        <a:xfrm>
          <a:off x="6567380" y="11600877"/>
          <a:ext cx="825925" cy="247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199749</xdr:colOff>
      <xdr:row>71</xdr:row>
      <xdr:rowOff>3237</xdr:rowOff>
    </xdr:from>
    <xdr:to>
      <xdr:col>13</xdr:col>
      <xdr:colOff>421005</xdr:colOff>
      <xdr:row>71</xdr:row>
      <xdr:rowOff>5712</xdr:rowOff>
    </xdr:to>
    <xdr:cxnSp macro="">
      <xdr:nvCxnSpPr>
        <xdr:cNvPr id="142" name="Straight Arrow Connector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CxnSpPr>
          <a:stCxn id="143" idx="3"/>
        </xdr:cNvCxnSpPr>
      </xdr:nvCxnSpPr>
      <xdr:spPr>
        <a:xfrm>
          <a:off x="6661509" y="12660057"/>
          <a:ext cx="731796" cy="247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696646</xdr:colOff>
      <xdr:row>70</xdr:row>
      <xdr:rowOff>43812</xdr:rowOff>
    </xdr:from>
    <xdr:ext cx="714683" cy="269369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5946826" y="12525372"/>
          <a:ext cx="71468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en-US" sz="1200" b="1">
              <a:latin typeface="Arial" pitchFamily="34" charset="0"/>
              <a:cs typeface="Arial" pitchFamily="34" charset="0"/>
            </a:rPr>
            <a:t>PBCLK</a:t>
          </a:r>
        </a:p>
      </xdr:txBody>
    </xdr:sp>
    <xdr:clientData/>
  </xdr:oneCellAnchor>
  <xdr:twoCellAnchor>
    <xdr:from>
      <xdr:col>12</xdr:col>
      <xdr:colOff>204045</xdr:colOff>
      <xdr:row>73</xdr:row>
      <xdr:rowOff>5142</xdr:rowOff>
    </xdr:from>
    <xdr:to>
      <xdr:col>13</xdr:col>
      <xdr:colOff>417195</xdr:colOff>
      <xdr:row>73</xdr:row>
      <xdr:rowOff>9522</xdr:rowOff>
    </xdr:to>
    <xdr:cxnSp macro="">
      <xdr:nvCxnSpPr>
        <xdr:cNvPr id="144" name="Straight Arrow Connector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CxnSpPr>
          <a:stCxn id="145" idx="3"/>
        </xdr:cNvCxnSpPr>
      </xdr:nvCxnSpPr>
      <xdr:spPr>
        <a:xfrm>
          <a:off x="6665805" y="13012482"/>
          <a:ext cx="723690" cy="438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606749</xdr:colOff>
      <xdr:row>72</xdr:row>
      <xdr:rowOff>45717</xdr:rowOff>
    </xdr:from>
    <xdr:ext cx="808876" cy="269369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5856929" y="12877797"/>
          <a:ext cx="808876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en-US" sz="1200" b="1">
              <a:latin typeface="Arial" pitchFamily="34" charset="0"/>
              <a:cs typeface="Arial" pitchFamily="34" charset="0"/>
            </a:rPr>
            <a:t>SYSCLK</a:t>
          </a:r>
        </a:p>
      </xdr:txBody>
    </xdr:sp>
    <xdr:clientData/>
  </xdr:oneCellAnchor>
  <xdr:twoCellAnchor>
    <xdr:from>
      <xdr:col>12</xdr:col>
      <xdr:colOff>173355</xdr:colOff>
      <xdr:row>75</xdr:row>
      <xdr:rowOff>9435</xdr:rowOff>
    </xdr:from>
    <xdr:to>
      <xdr:col>13</xdr:col>
      <xdr:colOff>419100</xdr:colOff>
      <xdr:row>75</xdr:row>
      <xdr:rowOff>15240</xdr:rowOff>
    </xdr:to>
    <xdr:cxnSp macro="">
      <xdr:nvCxnSpPr>
        <xdr:cNvPr id="146" name="Straight Arrow Connector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CxnSpPr>
          <a:stCxn id="149" idx="3"/>
        </xdr:cNvCxnSpPr>
      </xdr:nvCxnSpPr>
      <xdr:spPr>
        <a:xfrm>
          <a:off x="6635115" y="13367295"/>
          <a:ext cx="756285" cy="580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394961</xdr:colOff>
      <xdr:row>74</xdr:row>
      <xdr:rowOff>51432</xdr:rowOff>
    </xdr:from>
    <xdr:ext cx="851452" cy="269369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5645141" y="13234032"/>
          <a:ext cx="85145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REFCLKI</a:t>
          </a:r>
        </a:p>
      </xdr:txBody>
    </xdr:sp>
    <xdr:clientData/>
  </xdr:oneCellAnchor>
  <xdr:twoCellAnchor>
    <xdr:from>
      <xdr:col>12</xdr:col>
      <xdr:colOff>22860</xdr:colOff>
      <xdr:row>74</xdr:row>
      <xdr:rowOff>106680</xdr:rowOff>
    </xdr:from>
    <xdr:to>
      <xdr:col>12</xdr:col>
      <xdr:colOff>179070</xdr:colOff>
      <xdr:row>75</xdr:row>
      <xdr:rowOff>83820</xdr:rowOff>
    </xdr:to>
    <xdr:grpSp>
      <xdr:nvGrpSpPr>
        <xdr:cNvPr id="148" name="Group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GrpSpPr/>
      </xdr:nvGrpSpPr>
      <xdr:grpSpPr>
        <a:xfrm>
          <a:off x="6484620" y="13281660"/>
          <a:ext cx="156210" cy="152400"/>
          <a:chOff x="7957185" y="6433185"/>
          <a:chExt cx="156210" cy="160020"/>
        </a:xfrm>
      </xdr:grpSpPr>
      <xdr:sp macro="" textlink="">
        <xdr:nvSpPr>
          <xdr:cNvPr id="149" name="Rectangle 148">
            <a:extLst>
              <a:ext uri="{FF2B5EF4-FFF2-40B4-BE49-F238E27FC236}">
                <a16:creationId xmlns:a16="http://schemas.microsoft.com/office/drawing/2014/main" id="{00000000-0008-0000-0000-000095000000}"/>
              </a:ext>
            </a:extLst>
          </xdr:cNvPr>
          <xdr:cNvSpPr/>
        </xdr:nvSpPr>
        <xdr:spPr>
          <a:xfrm>
            <a:off x="7962900" y="6438900"/>
            <a:ext cx="144780" cy="152400"/>
          </a:xfrm>
          <a:prstGeom prst="rect">
            <a:avLst/>
          </a:prstGeom>
          <a:solidFill>
            <a:schemeClr val="bg1"/>
          </a:solidFill>
          <a:ln w="222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cxnSp macro="">
        <xdr:nvCxnSpPr>
          <xdr:cNvPr id="150" name="Straight Connector 149">
            <a:extLst>
              <a:ext uri="{FF2B5EF4-FFF2-40B4-BE49-F238E27FC236}">
                <a16:creationId xmlns:a16="http://schemas.microsoft.com/office/drawing/2014/main" id="{00000000-0008-0000-0000-000096000000}"/>
              </a:ext>
            </a:extLst>
          </xdr:cNvPr>
          <xdr:cNvCxnSpPr/>
        </xdr:nvCxnSpPr>
        <xdr:spPr>
          <a:xfrm flipV="1">
            <a:off x="7957185" y="6433185"/>
            <a:ext cx="148590" cy="16002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" name="Straight Connector 150">
            <a:extLst>
              <a:ext uri="{FF2B5EF4-FFF2-40B4-BE49-F238E27FC236}">
                <a16:creationId xmlns:a16="http://schemas.microsoft.com/office/drawing/2014/main" id="{00000000-0008-0000-0000-000097000000}"/>
              </a:ext>
            </a:extLst>
          </xdr:cNvPr>
          <xdr:cNvCxnSpPr/>
        </xdr:nvCxnSpPr>
        <xdr:spPr>
          <a:xfrm flipH="1" flipV="1">
            <a:off x="7962901" y="6442710"/>
            <a:ext cx="150494" cy="14859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251460</xdr:colOff>
      <xdr:row>76</xdr:row>
      <xdr:rowOff>137160</xdr:rowOff>
    </xdr:from>
    <xdr:ext cx="1447800" cy="4800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4869180" y="13670280"/>
          <a:ext cx="1447800" cy="48006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45720" tIns="18288" rIns="45720" bIns="18288" rtlCol="0" anchor="t">
          <a:noAutofit/>
        </a:bodyPr>
        <a:lstStyle/>
        <a:p>
          <a:r>
            <a:rPr lang="en-US" sz="1400" b="1">
              <a:latin typeface="Arial" pitchFamily="34" charset="0"/>
              <a:cs typeface="Arial" pitchFamily="34" charset="0"/>
            </a:rPr>
            <a:t>Enter</a:t>
          </a:r>
          <a:r>
            <a:rPr lang="en-US" sz="1400" b="1" baseline="0">
              <a:latin typeface="Arial" pitchFamily="34" charset="0"/>
              <a:cs typeface="Arial" pitchFamily="34" charset="0"/>
            </a:rPr>
            <a:t> external clock frequency</a:t>
          </a:r>
          <a:endParaRPr lang="en-US" sz="14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11</xdr:col>
      <xdr:colOff>342900</xdr:colOff>
      <xdr:row>75</xdr:row>
      <xdr:rowOff>99060</xdr:rowOff>
    </xdr:from>
    <xdr:to>
      <xdr:col>12</xdr:col>
      <xdr:colOff>266700</xdr:colOff>
      <xdr:row>77</xdr:row>
      <xdr:rowOff>68580</xdr:rowOff>
    </xdr:to>
    <xdr:cxnSp macro="">
      <xdr:nvCxnSpPr>
        <xdr:cNvPr id="153" name="Straight Arrow Connector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>
        <a:xfrm flipV="1">
          <a:off x="6332220" y="13456920"/>
          <a:ext cx="396240" cy="320040"/>
        </a:xfrm>
        <a:prstGeom prst="straightConnector1">
          <a:avLst/>
        </a:prstGeom>
        <a:ln w="381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220980</xdr:colOff>
      <xdr:row>67</xdr:row>
      <xdr:rowOff>15240</xdr:rowOff>
    </xdr:from>
    <xdr:to>
      <xdr:col>19</xdr:col>
      <xdr:colOff>377190</xdr:colOff>
      <xdr:row>67</xdr:row>
      <xdr:rowOff>167640</xdr:rowOff>
    </xdr:to>
    <xdr:grpSp>
      <xdr:nvGrpSpPr>
        <xdr:cNvPr id="154" name="Group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GrpSpPr/>
      </xdr:nvGrpSpPr>
      <xdr:grpSpPr>
        <a:xfrm>
          <a:off x="10683240" y="11963400"/>
          <a:ext cx="156210" cy="152400"/>
          <a:chOff x="7957185" y="6433185"/>
          <a:chExt cx="156210" cy="160020"/>
        </a:xfrm>
      </xdr:grpSpPr>
      <xdr:sp macro="" textlink="">
        <xdr:nvSpPr>
          <xdr:cNvPr id="155" name="Rectangle 154">
            <a:extLst>
              <a:ext uri="{FF2B5EF4-FFF2-40B4-BE49-F238E27FC236}">
                <a16:creationId xmlns:a16="http://schemas.microsoft.com/office/drawing/2014/main" id="{00000000-0008-0000-0000-00009B000000}"/>
              </a:ext>
            </a:extLst>
          </xdr:cNvPr>
          <xdr:cNvSpPr/>
        </xdr:nvSpPr>
        <xdr:spPr>
          <a:xfrm>
            <a:off x="7962900" y="6438900"/>
            <a:ext cx="144780" cy="152400"/>
          </a:xfrm>
          <a:prstGeom prst="rect">
            <a:avLst/>
          </a:prstGeom>
          <a:solidFill>
            <a:schemeClr val="bg1"/>
          </a:solidFill>
          <a:ln w="222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cxnSp macro="">
        <xdr:nvCxnSpPr>
          <xdr:cNvPr id="156" name="Straight Connector 155">
            <a:extLst>
              <a:ext uri="{FF2B5EF4-FFF2-40B4-BE49-F238E27FC236}">
                <a16:creationId xmlns:a16="http://schemas.microsoft.com/office/drawing/2014/main" id="{00000000-0008-0000-0000-00009C000000}"/>
              </a:ext>
            </a:extLst>
          </xdr:cNvPr>
          <xdr:cNvCxnSpPr/>
        </xdr:nvCxnSpPr>
        <xdr:spPr>
          <a:xfrm flipV="1">
            <a:off x="7957185" y="6433185"/>
            <a:ext cx="148590" cy="16002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" name="Straight Connector 156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CxnSpPr/>
        </xdr:nvCxnSpPr>
        <xdr:spPr>
          <a:xfrm flipH="1" flipV="1">
            <a:off x="7962901" y="6442710"/>
            <a:ext cx="150494" cy="14859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19</xdr:col>
      <xdr:colOff>384450</xdr:colOff>
      <xdr:row>66</xdr:row>
      <xdr:rowOff>129540</xdr:rowOff>
    </xdr:from>
    <xdr:ext cx="1061060" cy="269369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10846710" y="11910060"/>
          <a:ext cx="106106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REFCLKO =</a:t>
          </a:r>
        </a:p>
      </xdr:txBody>
    </xdr:sp>
    <xdr:clientData/>
  </xdr:oneCellAnchor>
  <xdr:twoCellAnchor>
    <xdr:from>
      <xdr:col>19</xdr:col>
      <xdr:colOff>22860</xdr:colOff>
      <xdr:row>65</xdr:row>
      <xdr:rowOff>68580</xdr:rowOff>
    </xdr:from>
    <xdr:to>
      <xdr:col>19</xdr:col>
      <xdr:colOff>29528</xdr:colOff>
      <xdr:row>67</xdr:row>
      <xdr:rowOff>76200</xdr:rowOff>
    </xdr:to>
    <xdr:cxnSp macro="">
      <xdr:nvCxnSpPr>
        <xdr:cNvPr id="159" name="Straight Arrow Connector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>
          <a:stCxn id="160" idx="2"/>
        </xdr:cNvCxnSpPr>
      </xdr:nvCxnSpPr>
      <xdr:spPr>
        <a:xfrm flipH="1">
          <a:off x="10485120" y="11673840"/>
          <a:ext cx="6668" cy="35814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89535</xdr:colOff>
      <xdr:row>62</xdr:row>
      <xdr:rowOff>22860</xdr:rowOff>
    </xdr:from>
    <xdr:to>
      <xdr:col>19</xdr:col>
      <xdr:colOff>365760</xdr:colOff>
      <xdr:row>65</xdr:row>
      <xdr:rowOff>68580</xdr:rowOff>
    </xdr:to>
    <xdr:sp macro="" textlink="">
      <xdr:nvSpPr>
        <xdr:cNvPr id="160" name="Rounded Rectangle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10155555" y="11102340"/>
          <a:ext cx="672465" cy="57150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REFCLK </a:t>
          </a:r>
          <a:r>
            <a:rPr lang="en-US" sz="1100" baseline="0">
              <a:latin typeface="Arial" pitchFamily="34" charset="0"/>
              <a:cs typeface="Arial" pitchFamily="34" charset="0"/>
            </a:rPr>
            <a:t>Out</a:t>
          </a:r>
          <a:r>
            <a:rPr lang="en-US" sz="1100">
              <a:latin typeface="Arial" pitchFamily="34" charset="0"/>
              <a:cs typeface="Arial" pitchFamily="34" charset="0"/>
            </a:rPr>
            <a:t> Enable</a:t>
          </a:r>
        </a:p>
      </xdr:txBody>
    </xdr:sp>
    <xdr:clientData/>
  </xdr:twoCellAnchor>
  <xdr:twoCellAnchor>
    <xdr:from>
      <xdr:col>15</xdr:col>
      <xdr:colOff>60960</xdr:colOff>
      <xdr:row>66</xdr:row>
      <xdr:rowOff>121920</xdr:rowOff>
    </xdr:from>
    <xdr:to>
      <xdr:col>16</xdr:col>
      <xdr:colOff>350520</xdr:colOff>
      <xdr:row>68</xdr:row>
      <xdr:rowOff>137160</xdr:rowOff>
    </xdr:to>
    <xdr:sp macro="" textlink="">
      <xdr:nvSpPr>
        <xdr:cNvPr id="161" name="Rounded Rectangle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8435340" y="11902440"/>
          <a:ext cx="685800" cy="36576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REFCLK</a:t>
          </a:r>
          <a:r>
            <a:rPr lang="en-US" sz="1100" baseline="0">
              <a:latin typeface="Arial" pitchFamily="34" charset="0"/>
              <a:cs typeface="Arial" pitchFamily="34" charset="0"/>
            </a:rPr>
            <a:t> </a:t>
          </a:r>
          <a:r>
            <a:rPr lang="en-US" sz="1100">
              <a:latin typeface="Arial" pitchFamily="34" charset="0"/>
              <a:cs typeface="Arial" pitchFamily="34" charset="0"/>
            </a:rPr>
            <a:t>Divider</a:t>
          </a:r>
        </a:p>
      </xdr:txBody>
    </xdr:sp>
    <xdr:clientData/>
  </xdr:twoCellAnchor>
  <xdr:oneCellAnchor>
    <xdr:from>
      <xdr:col>14</xdr:col>
      <xdr:colOff>502921</xdr:colOff>
      <xdr:row>58</xdr:row>
      <xdr:rowOff>144780</xdr:rowOff>
    </xdr:from>
    <xdr:ext cx="2156459" cy="4419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8214361" y="10523220"/>
          <a:ext cx="2156459" cy="441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Enter: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 </a:t>
          </a:r>
          <a:r>
            <a:rPr lang="en-US" sz="1100" b="1">
              <a:latin typeface="Arial" pitchFamily="34" charset="0"/>
              <a:cs typeface="Arial" pitchFamily="34" charset="0"/>
            </a:rPr>
            <a:t>trimValue (0 to 511)</a:t>
          </a:r>
        </a:p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            refOscDiv (0 to 32767)</a:t>
          </a:r>
        </a:p>
      </xdr:txBody>
    </xdr:sp>
    <xdr:clientData/>
  </xdr:oneCellAnchor>
  <xdr:twoCellAnchor>
    <xdr:from>
      <xdr:col>16</xdr:col>
      <xdr:colOff>365760</xdr:colOff>
      <xdr:row>61</xdr:row>
      <xdr:rowOff>60960</xdr:rowOff>
    </xdr:from>
    <xdr:to>
      <xdr:col>16</xdr:col>
      <xdr:colOff>521971</xdr:colOff>
      <xdr:row>63</xdr:row>
      <xdr:rowOff>114300</xdr:rowOff>
    </xdr:to>
    <xdr:cxnSp macro="">
      <xdr:nvCxnSpPr>
        <xdr:cNvPr id="163" name="Straight Arrow Connector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>
          <a:stCxn id="162" idx="2"/>
        </xdr:cNvCxnSpPr>
      </xdr:nvCxnSpPr>
      <xdr:spPr>
        <a:xfrm flipH="1">
          <a:off x="9136380" y="10965180"/>
          <a:ext cx="156211" cy="40386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198120</xdr:colOff>
      <xdr:row>59</xdr:row>
      <xdr:rowOff>99060</xdr:rowOff>
    </xdr:from>
    <xdr:to>
      <xdr:col>25</xdr:col>
      <xdr:colOff>167473</xdr:colOff>
      <xdr:row>63</xdr:row>
      <xdr:rowOff>160020</xdr:rowOff>
    </xdr:to>
    <xdr:grpSp>
      <xdr:nvGrpSpPr>
        <xdr:cNvPr id="164" name="Group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GrpSpPr/>
      </xdr:nvGrpSpPr>
      <xdr:grpSpPr>
        <a:xfrm>
          <a:off x="11155680" y="10645140"/>
          <a:ext cx="2727793" cy="762000"/>
          <a:chOff x="9898380" y="10043160"/>
          <a:chExt cx="2727793" cy="762000"/>
        </a:xfrm>
      </xdr:grpSpPr>
      <xdr:sp macro="" textlink="">
        <xdr:nvSpPr>
          <xdr:cNvPr id="165" name="Rectangle 164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SpPr/>
        </xdr:nvSpPr>
        <xdr:spPr>
          <a:xfrm>
            <a:off x="9898380" y="10043160"/>
            <a:ext cx="2705100" cy="762000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grpSp>
        <xdr:nvGrpSpPr>
          <xdr:cNvPr id="166" name="Group 400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GrpSpPr/>
        </xdr:nvGrpSpPr>
        <xdr:grpSpPr>
          <a:xfrm>
            <a:off x="9915868" y="10043160"/>
            <a:ext cx="2710305" cy="751204"/>
            <a:chOff x="10159708" y="10142220"/>
            <a:chExt cx="2710305" cy="751204"/>
          </a:xfrm>
        </xdr:grpSpPr>
        <xdr:sp macro="" textlink="">
          <xdr:nvSpPr>
            <xdr:cNvPr id="167" name="TextBox 166">
              <a:extLst>
                <a:ext uri="{FF2B5EF4-FFF2-40B4-BE49-F238E27FC236}">
                  <a16:creationId xmlns:a16="http://schemas.microsoft.com/office/drawing/2014/main" id="{00000000-0008-0000-0000-0000A7000000}"/>
                </a:ext>
              </a:extLst>
            </xdr:cNvPr>
            <xdr:cNvSpPr txBox="1"/>
          </xdr:nvSpPr>
          <xdr:spPr>
            <a:xfrm>
              <a:off x="10159708" y="10302240"/>
              <a:ext cx="895823" cy="269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rtlCol="0" anchor="t">
              <a:spAutoFit/>
            </a:bodyPr>
            <a:lstStyle/>
            <a:p>
              <a:pPr algn="ctr"/>
              <a:r>
                <a:rPr lang="en-US" sz="1200" b="0">
                  <a:latin typeface="Arial" pitchFamily="34" charset="0"/>
                  <a:cs typeface="Arial" pitchFamily="34" charset="0"/>
                </a:rPr>
                <a:t>F</a:t>
              </a:r>
              <a:r>
                <a:rPr lang="en-US" sz="1200" b="0" baseline="-25000">
                  <a:latin typeface="Arial" pitchFamily="34" charset="0"/>
                  <a:cs typeface="Arial" pitchFamily="34" charset="0"/>
                </a:rPr>
                <a:t>REFCLKO</a:t>
              </a:r>
              <a:r>
                <a:rPr lang="en-US" sz="1200" b="0" baseline="0">
                  <a:latin typeface="Arial" pitchFamily="34" charset="0"/>
                  <a:cs typeface="Arial" pitchFamily="34" charset="0"/>
                </a:rPr>
                <a:t> =</a:t>
              </a:r>
              <a:endParaRPr lang="en-US" sz="1200" b="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168" name="TextBox 167">
              <a:extLst>
                <a:ext uri="{FF2B5EF4-FFF2-40B4-BE49-F238E27FC236}">
                  <a16:creationId xmlns:a16="http://schemas.microsoft.com/office/drawing/2014/main" id="{00000000-0008-0000-0000-0000A8000000}"/>
                </a:ext>
              </a:extLst>
            </xdr:cNvPr>
            <xdr:cNvSpPr txBox="1"/>
          </xdr:nvSpPr>
          <xdr:spPr>
            <a:xfrm>
              <a:off x="11548869" y="10142220"/>
              <a:ext cx="586379" cy="269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rtlCol="0" anchor="t">
              <a:spAutoFit/>
            </a:bodyPr>
            <a:lstStyle/>
            <a:p>
              <a:pPr algn="ctr"/>
              <a:r>
                <a:rPr lang="en-US" sz="1200" b="0">
                  <a:latin typeface="Arial" pitchFamily="34" charset="0"/>
                  <a:cs typeface="Arial" pitchFamily="34" charset="0"/>
                </a:rPr>
                <a:t>F</a:t>
              </a:r>
              <a:r>
                <a:rPr lang="en-US" sz="1200" b="0" baseline="-25000">
                  <a:latin typeface="Arial" pitchFamily="34" charset="0"/>
                  <a:cs typeface="Arial" pitchFamily="34" charset="0"/>
                </a:rPr>
                <a:t>REFIN</a:t>
              </a:r>
            </a:p>
          </xdr:txBody>
        </xdr:sp>
        <xdr:sp macro="" textlink="">
          <xdr:nvSpPr>
            <xdr:cNvPr id="169" name="TextBox 168">
              <a:extLst>
                <a:ext uri="{FF2B5EF4-FFF2-40B4-BE49-F238E27FC236}">
                  <a16:creationId xmlns:a16="http://schemas.microsoft.com/office/drawing/2014/main" id="{00000000-0008-0000-0000-0000A9000000}"/>
                </a:ext>
              </a:extLst>
            </xdr:cNvPr>
            <xdr:cNvSpPr txBox="1"/>
          </xdr:nvSpPr>
          <xdr:spPr>
            <a:xfrm>
              <a:off x="10834864" y="10530840"/>
              <a:ext cx="1206676" cy="269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rtlCol="0" anchor="t">
              <a:spAutoFit/>
            </a:bodyPr>
            <a:lstStyle/>
            <a:p>
              <a:pPr algn="ctr"/>
              <a:r>
                <a:rPr lang="en-US" sz="1200" b="0">
                  <a:latin typeface="Arial" pitchFamily="34" charset="0"/>
                  <a:cs typeface="Arial" pitchFamily="34" charset="0"/>
                </a:rPr>
                <a:t>2</a:t>
              </a:r>
              <a:r>
                <a:rPr lang="en-US" sz="1200" b="0" baseline="0"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1200" b="0"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1200" b="0" baseline="0">
                  <a:latin typeface="Arial" pitchFamily="34" charset="0"/>
                  <a:cs typeface="Arial" pitchFamily="34" charset="0"/>
                </a:rPr>
                <a:t> refOscDiv</a:t>
              </a:r>
              <a:r>
                <a:rPr lang="en-US" sz="1200" b="0">
                  <a:latin typeface="Arial" pitchFamily="34" charset="0"/>
                  <a:cs typeface="Arial" pitchFamily="34" charset="0"/>
                </a:rPr>
                <a:t> +</a:t>
              </a:r>
              <a:endParaRPr lang="en-US" sz="1200" b="0" baseline="-250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170" name="TextBox 169">
              <a:extLst>
                <a:ext uri="{FF2B5EF4-FFF2-40B4-BE49-F238E27FC236}">
                  <a16:creationId xmlns:a16="http://schemas.microsoft.com/office/drawing/2014/main" id="{00000000-0008-0000-0000-0000AA000000}"/>
                </a:ext>
              </a:extLst>
            </xdr:cNvPr>
            <xdr:cNvSpPr txBox="1"/>
          </xdr:nvSpPr>
          <xdr:spPr>
            <a:xfrm>
              <a:off x="10949615" y="10378440"/>
              <a:ext cx="1920398" cy="5052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rtlCol="0" anchor="t">
              <a:spAutoFit/>
            </a:bodyPr>
            <a:lstStyle/>
            <a:p>
              <a:pPr algn="ctr"/>
              <a:r>
                <a:rPr lang="en-US" sz="2800" b="0">
                  <a:latin typeface="Arial" pitchFamily="34" charset="0"/>
                  <a:cs typeface="Arial" pitchFamily="34" charset="0"/>
                </a:rPr>
                <a:t>(              </a:t>
              </a:r>
              <a:r>
                <a:rPr lang="en-US" sz="2800" b="0" baseline="0"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2800" b="0">
                  <a:latin typeface="Arial" pitchFamily="34" charset="0"/>
                  <a:cs typeface="Arial" pitchFamily="34" charset="0"/>
                </a:rPr>
                <a:t>)</a:t>
              </a:r>
            </a:p>
          </xdr:txBody>
        </xdr:sp>
        <xdr:cxnSp macro="">
          <xdr:nvCxnSpPr>
            <xdr:cNvPr id="171" name="Straight Arrow Connector 170">
              <a:extLst>
                <a:ext uri="{FF2B5EF4-FFF2-40B4-BE49-F238E27FC236}">
                  <a16:creationId xmlns:a16="http://schemas.microsoft.com/office/drawing/2014/main" id="{00000000-0008-0000-0000-0000AB000000}"/>
                </a:ext>
              </a:extLst>
            </xdr:cNvPr>
            <xdr:cNvCxnSpPr/>
          </xdr:nvCxnSpPr>
          <xdr:spPr>
            <a:xfrm>
              <a:off x="11010900" y="10439400"/>
              <a:ext cx="1729740" cy="0"/>
            </a:xfrm>
            <a:prstGeom prst="straightConnector1">
              <a:avLst/>
            </a:prstGeom>
            <a:ln w="25400">
              <a:solidFill>
                <a:schemeClr val="tx1"/>
              </a:solidFill>
              <a:headEnd w="med" len="sm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72" name="TextBox 171">
              <a:extLst>
                <a:ext uri="{FF2B5EF4-FFF2-40B4-BE49-F238E27FC236}">
                  <a16:creationId xmlns:a16="http://schemas.microsoft.com/office/drawing/2014/main" id="{00000000-0008-0000-0000-0000AC000000}"/>
                </a:ext>
              </a:extLst>
            </xdr:cNvPr>
            <xdr:cNvSpPr txBox="1"/>
          </xdr:nvSpPr>
          <xdr:spPr>
            <a:xfrm>
              <a:off x="11888730" y="10447020"/>
              <a:ext cx="834652" cy="4464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rtlCol="0" anchor="t">
              <a:spAutoFit/>
            </a:bodyPr>
            <a:lstStyle/>
            <a:p>
              <a:pPr algn="ctr"/>
              <a:r>
                <a:rPr lang="en-US" sz="1200" b="0">
                  <a:latin typeface="Arial" pitchFamily="34" charset="0"/>
                  <a:cs typeface="Arial" pitchFamily="34" charset="0"/>
                </a:rPr>
                <a:t>trimValue</a:t>
              </a:r>
            </a:p>
            <a:p>
              <a:pPr algn="ctr"/>
              <a:r>
                <a:rPr lang="en-US" sz="1200" b="0">
                  <a:latin typeface="Arial" pitchFamily="34" charset="0"/>
                  <a:cs typeface="Arial" pitchFamily="34" charset="0"/>
                </a:rPr>
                <a:t>512</a:t>
              </a:r>
            </a:p>
          </xdr:txBody>
        </xdr:sp>
        <xdr:cxnSp macro="">
          <xdr:nvCxnSpPr>
            <xdr:cNvPr id="173" name="Straight Arrow Connector 172">
              <a:extLst>
                <a:ext uri="{FF2B5EF4-FFF2-40B4-BE49-F238E27FC236}">
                  <a16:creationId xmlns:a16="http://schemas.microsoft.com/office/drawing/2014/main" id="{00000000-0008-0000-0000-0000AD000000}"/>
                </a:ext>
              </a:extLst>
            </xdr:cNvPr>
            <xdr:cNvCxnSpPr/>
          </xdr:nvCxnSpPr>
          <xdr:spPr>
            <a:xfrm>
              <a:off x="11971020" y="10668000"/>
              <a:ext cx="662940" cy="0"/>
            </a:xfrm>
            <a:prstGeom prst="straightConnector1">
              <a:avLst/>
            </a:prstGeom>
            <a:ln w="25400">
              <a:solidFill>
                <a:schemeClr val="tx1"/>
              </a:solidFill>
              <a:headEnd w="med" len="sm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22</xdr:col>
      <xdr:colOff>373381</xdr:colOff>
      <xdr:row>64</xdr:row>
      <xdr:rowOff>76200</xdr:rowOff>
    </xdr:from>
    <xdr:to>
      <xdr:col>22</xdr:col>
      <xdr:colOff>563880</xdr:colOff>
      <xdr:row>66</xdr:row>
      <xdr:rowOff>112123</xdr:rowOff>
    </xdr:to>
    <xdr:cxnSp macro="">
      <xdr:nvCxnSpPr>
        <xdr:cNvPr id="174" name="Straight Arrow Connector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CxnSpPr/>
      </xdr:nvCxnSpPr>
      <xdr:spPr>
        <a:xfrm flipH="1">
          <a:off x="12260581" y="11506200"/>
          <a:ext cx="190499" cy="386443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401955</xdr:colOff>
      <xdr:row>21</xdr:row>
      <xdr:rowOff>173355</xdr:rowOff>
    </xdr:from>
    <xdr:to>
      <xdr:col>6</xdr:col>
      <xdr:colOff>85725</xdr:colOff>
      <xdr:row>23</xdr:row>
      <xdr:rowOff>5715</xdr:rowOff>
    </xdr:to>
    <xdr:grpSp>
      <xdr:nvGrpSpPr>
        <xdr:cNvPr id="175" name="Group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GrpSpPr/>
      </xdr:nvGrpSpPr>
      <xdr:grpSpPr>
        <a:xfrm>
          <a:off x="2352675" y="4036695"/>
          <a:ext cx="270510" cy="182880"/>
          <a:chOff x="2346960" y="4044315"/>
          <a:chExt cx="270510" cy="182880"/>
        </a:xfrm>
      </xdr:grpSpPr>
      <xdr:sp macro="" textlink="">
        <xdr:nvSpPr>
          <xdr:cNvPr id="176" name="Arc 175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SpPr/>
        </xdr:nvSpPr>
        <xdr:spPr>
          <a:xfrm>
            <a:off x="2367915" y="4046220"/>
            <a:ext cx="114300" cy="180975"/>
          </a:xfrm>
          <a:prstGeom prst="arc">
            <a:avLst>
              <a:gd name="adj1" fmla="val 10852083"/>
              <a:gd name="adj2" fmla="val 0"/>
            </a:avLst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7" name="Arc 176">
            <a:extLst>
              <a:ext uri="{FF2B5EF4-FFF2-40B4-BE49-F238E27FC236}">
                <a16:creationId xmlns:a16="http://schemas.microsoft.com/office/drawing/2014/main" id="{00000000-0008-0000-0000-0000B1000000}"/>
              </a:ext>
            </a:extLst>
          </xdr:cNvPr>
          <xdr:cNvSpPr/>
        </xdr:nvSpPr>
        <xdr:spPr>
          <a:xfrm flipV="1">
            <a:off x="2482215" y="4044315"/>
            <a:ext cx="114300" cy="179070"/>
          </a:xfrm>
          <a:prstGeom prst="arc">
            <a:avLst>
              <a:gd name="adj1" fmla="val 10852083"/>
              <a:gd name="adj2" fmla="val 0"/>
            </a:avLst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cxnSp macro="">
        <xdr:nvCxnSpPr>
          <xdr:cNvPr id="178" name="Straight Arrow Connector 177">
            <a:extLst>
              <a:ext uri="{FF2B5EF4-FFF2-40B4-BE49-F238E27FC236}">
                <a16:creationId xmlns:a16="http://schemas.microsoft.com/office/drawing/2014/main" id="{00000000-0008-0000-0000-0000B2000000}"/>
              </a:ext>
            </a:extLst>
          </xdr:cNvPr>
          <xdr:cNvCxnSpPr/>
        </xdr:nvCxnSpPr>
        <xdr:spPr>
          <a:xfrm>
            <a:off x="2346960" y="4139565"/>
            <a:ext cx="270510" cy="0"/>
          </a:xfrm>
          <a:prstGeom prst="straightConnector1">
            <a:avLst/>
          </a:prstGeom>
          <a:ln w="3175">
            <a:solidFill>
              <a:schemeClr val="tx1"/>
            </a:solidFill>
            <a:prstDash val="dash"/>
            <a:headEnd w="med" len="sm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407670</xdr:colOff>
      <xdr:row>21</xdr:row>
      <xdr:rowOff>9525</xdr:rowOff>
    </xdr:from>
    <xdr:to>
      <xdr:col>6</xdr:col>
      <xdr:colOff>329565</xdr:colOff>
      <xdr:row>21</xdr:row>
      <xdr:rowOff>152400</xdr:rowOff>
    </xdr:to>
    <xdr:grpSp>
      <xdr:nvGrpSpPr>
        <xdr:cNvPr id="179" name="Group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GrpSpPr/>
      </xdr:nvGrpSpPr>
      <xdr:grpSpPr>
        <a:xfrm>
          <a:off x="2358390" y="3872865"/>
          <a:ext cx="508635" cy="142875"/>
          <a:chOff x="2358390" y="3880485"/>
          <a:chExt cx="508635" cy="142875"/>
        </a:xfrm>
      </xdr:grpSpPr>
      <xdr:grpSp>
        <xdr:nvGrpSpPr>
          <xdr:cNvPr id="180" name="Group 318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GrpSpPr/>
        </xdr:nvGrpSpPr>
        <xdr:grpSpPr>
          <a:xfrm>
            <a:off x="2358390" y="3880485"/>
            <a:ext cx="506730" cy="142875"/>
            <a:chOff x="2346960" y="3844290"/>
            <a:chExt cx="506730" cy="142875"/>
          </a:xfrm>
        </xdr:grpSpPr>
        <xdr:cxnSp macro="">
          <xdr:nvCxnSpPr>
            <xdr:cNvPr id="182" name="Straight Arrow Connector 181">
              <a:extLst>
                <a:ext uri="{FF2B5EF4-FFF2-40B4-BE49-F238E27FC236}">
                  <a16:creationId xmlns:a16="http://schemas.microsoft.com/office/drawing/2014/main" id="{00000000-0008-0000-0000-0000B6000000}"/>
                </a:ext>
              </a:extLst>
            </xdr:cNvPr>
            <xdr:cNvCxnSpPr/>
          </xdr:nvCxnSpPr>
          <xdr:spPr>
            <a:xfrm>
              <a:off x="2352675" y="3846195"/>
              <a:ext cx="1905" cy="140970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w="med" len="sm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3" name="Straight Arrow Connector 182">
              <a:extLst>
                <a:ext uri="{FF2B5EF4-FFF2-40B4-BE49-F238E27FC236}">
                  <a16:creationId xmlns:a16="http://schemas.microsoft.com/office/drawing/2014/main" id="{00000000-0008-0000-0000-0000B7000000}"/>
                </a:ext>
              </a:extLst>
            </xdr:cNvPr>
            <xdr:cNvCxnSpPr/>
          </xdr:nvCxnSpPr>
          <xdr:spPr>
            <a:xfrm>
              <a:off x="2346960" y="3853815"/>
              <a:ext cx="133350" cy="1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w="med" len="sm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4" name="Straight Arrow Connector 183">
              <a:extLst>
                <a:ext uri="{FF2B5EF4-FFF2-40B4-BE49-F238E27FC236}">
                  <a16:creationId xmlns:a16="http://schemas.microsoft.com/office/drawing/2014/main" id="{00000000-0008-0000-0000-0000B8000000}"/>
                </a:ext>
              </a:extLst>
            </xdr:cNvPr>
            <xdr:cNvCxnSpPr/>
          </xdr:nvCxnSpPr>
          <xdr:spPr>
            <a:xfrm>
              <a:off x="2474595" y="3846195"/>
              <a:ext cx="1905" cy="140970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w="med" len="sm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5" name="Straight Arrow Connector 184">
              <a:extLst>
                <a:ext uri="{FF2B5EF4-FFF2-40B4-BE49-F238E27FC236}">
                  <a16:creationId xmlns:a16="http://schemas.microsoft.com/office/drawing/2014/main" id="{00000000-0008-0000-0000-0000B9000000}"/>
                </a:ext>
              </a:extLst>
            </xdr:cNvPr>
            <xdr:cNvCxnSpPr/>
          </xdr:nvCxnSpPr>
          <xdr:spPr>
            <a:xfrm>
              <a:off x="2470785" y="3981450"/>
              <a:ext cx="133350" cy="1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w="med" len="sm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6" name="Straight Arrow Connector 185">
              <a:extLst>
                <a:ext uri="{FF2B5EF4-FFF2-40B4-BE49-F238E27FC236}">
                  <a16:creationId xmlns:a16="http://schemas.microsoft.com/office/drawing/2014/main" id="{00000000-0008-0000-0000-0000BA000000}"/>
                </a:ext>
              </a:extLst>
            </xdr:cNvPr>
            <xdr:cNvCxnSpPr/>
          </xdr:nvCxnSpPr>
          <xdr:spPr>
            <a:xfrm>
              <a:off x="2594610" y="3844290"/>
              <a:ext cx="1905" cy="140970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w="med" len="sm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7" name="Straight Arrow Connector 186">
              <a:extLst>
                <a:ext uri="{FF2B5EF4-FFF2-40B4-BE49-F238E27FC236}">
                  <a16:creationId xmlns:a16="http://schemas.microsoft.com/office/drawing/2014/main" id="{00000000-0008-0000-0000-0000BB000000}"/>
                </a:ext>
              </a:extLst>
            </xdr:cNvPr>
            <xdr:cNvCxnSpPr/>
          </xdr:nvCxnSpPr>
          <xdr:spPr>
            <a:xfrm>
              <a:off x="2592705" y="3851910"/>
              <a:ext cx="133350" cy="1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w="med" len="sm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8" name="Straight Arrow Connector 187">
              <a:extLst>
                <a:ext uri="{FF2B5EF4-FFF2-40B4-BE49-F238E27FC236}">
                  <a16:creationId xmlns:a16="http://schemas.microsoft.com/office/drawing/2014/main" id="{00000000-0008-0000-0000-0000BC000000}"/>
                </a:ext>
              </a:extLst>
            </xdr:cNvPr>
            <xdr:cNvCxnSpPr/>
          </xdr:nvCxnSpPr>
          <xdr:spPr>
            <a:xfrm>
              <a:off x="2722245" y="3844290"/>
              <a:ext cx="1905" cy="140970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w="med" len="sm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9" name="Straight Arrow Connector 188">
              <a:extLst>
                <a:ext uri="{FF2B5EF4-FFF2-40B4-BE49-F238E27FC236}">
                  <a16:creationId xmlns:a16="http://schemas.microsoft.com/office/drawing/2014/main" id="{00000000-0008-0000-0000-0000BD000000}"/>
                </a:ext>
              </a:extLst>
            </xdr:cNvPr>
            <xdr:cNvCxnSpPr/>
          </xdr:nvCxnSpPr>
          <xdr:spPr>
            <a:xfrm>
              <a:off x="2720340" y="3979545"/>
              <a:ext cx="133350" cy="1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w="med" len="sm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81" name="Straight Arrow Connector 180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CxnSpPr/>
        </xdr:nvCxnSpPr>
        <xdr:spPr>
          <a:xfrm flipV="1">
            <a:off x="2371725" y="4021455"/>
            <a:ext cx="495300" cy="1905"/>
          </a:xfrm>
          <a:prstGeom prst="straightConnector1">
            <a:avLst/>
          </a:prstGeom>
          <a:ln w="3175">
            <a:solidFill>
              <a:schemeClr val="tx1"/>
            </a:solidFill>
            <a:prstDash val="dash"/>
            <a:headEnd w="med" len="sm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15</xdr:col>
      <xdr:colOff>152400</xdr:colOff>
      <xdr:row>70</xdr:row>
      <xdr:rowOff>0</xdr:rowOff>
    </xdr:from>
    <xdr:ext cx="579120" cy="2514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8526780" y="12481560"/>
          <a:ext cx="57912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r>
            <a:rPr lang="en-US" sz="1100" b="0">
              <a:latin typeface="Arial" pitchFamily="34" charset="0"/>
              <a:cs typeface="Arial" pitchFamily="34" charset="0"/>
            </a:rPr>
            <a:t>F</a:t>
          </a:r>
          <a:r>
            <a:rPr lang="en-US" sz="1100" b="0" baseline="-25000">
              <a:latin typeface="Arial" pitchFamily="34" charset="0"/>
              <a:cs typeface="Arial" pitchFamily="34" charset="0"/>
            </a:rPr>
            <a:t>REFIN</a:t>
          </a:r>
        </a:p>
      </xdr:txBody>
    </xdr:sp>
    <xdr:clientData/>
  </xdr:oneCellAnchor>
  <xdr:twoCellAnchor>
    <xdr:from>
      <xdr:col>14</xdr:col>
      <xdr:colOff>632459</xdr:colOff>
      <xdr:row>69</xdr:row>
      <xdr:rowOff>38100</xdr:rowOff>
    </xdr:from>
    <xdr:to>
      <xdr:col>15</xdr:col>
      <xdr:colOff>198120</xdr:colOff>
      <xdr:row>70</xdr:row>
      <xdr:rowOff>53340</xdr:rowOff>
    </xdr:to>
    <xdr:cxnSp macro="">
      <xdr:nvCxnSpPr>
        <xdr:cNvPr id="191" name="Straight Arrow Connector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CxnSpPr/>
      </xdr:nvCxnSpPr>
      <xdr:spPr>
        <a:xfrm flipH="1" flipV="1">
          <a:off x="8343899" y="12344400"/>
          <a:ext cx="228601" cy="19050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403860</xdr:colOff>
      <xdr:row>26</xdr:row>
      <xdr:rowOff>83820</xdr:rowOff>
    </xdr:from>
    <xdr:to>
      <xdr:col>23</xdr:col>
      <xdr:colOff>7620</xdr:colOff>
      <xdr:row>35</xdr:row>
      <xdr:rowOff>167640</xdr:rowOff>
    </xdr:to>
    <xdr:sp macro="" textlink="">
      <xdr:nvSpPr>
        <xdr:cNvPr id="192" name="Rounded Rectangle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5654040" y="4831080"/>
          <a:ext cx="6850380" cy="1661160"/>
        </a:xfrm>
        <a:prstGeom prst="roundRect">
          <a:avLst>
            <a:gd name="adj" fmla="val 10506"/>
          </a:avLst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632460</xdr:colOff>
      <xdr:row>29</xdr:row>
      <xdr:rowOff>6</xdr:rowOff>
    </xdr:from>
    <xdr:to>
      <xdr:col>17</xdr:col>
      <xdr:colOff>76200</xdr:colOff>
      <xdr:row>32</xdr:row>
      <xdr:rowOff>64770</xdr:rowOff>
    </xdr:to>
    <xdr:sp macro="" textlink="">
      <xdr:nvSpPr>
        <xdr:cNvPr id="193" name="Trapezoid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 rot="5400000">
          <a:off x="9199248" y="5476878"/>
          <a:ext cx="590544" cy="182880"/>
        </a:xfrm>
        <a:prstGeom prst="trapezoid">
          <a:avLst>
            <a:gd name="adj" fmla="val 48171"/>
          </a:avLst>
        </a:prstGeom>
        <a:solidFill>
          <a:srgbClr val="C0C0C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190500</xdr:colOff>
      <xdr:row>30</xdr:row>
      <xdr:rowOff>169545</xdr:rowOff>
    </xdr:from>
    <xdr:to>
      <xdr:col>12</xdr:col>
      <xdr:colOff>274320</xdr:colOff>
      <xdr:row>32</xdr:row>
      <xdr:rowOff>40005</xdr:rowOff>
    </xdr:to>
    <xdr:sp macro="" textlink="">
      <xdr:nvSpPr>
        <xdr:cNvPr id="194" name="Rounded Rectangle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179820" y="5617845"/>
          <a:ext cx="556260" cy="22098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Divider</a:t>
          </a:r>
        </a:p>
      </xdr:txBody>
    </xdr:sp>
    <xdr:clientData/>
  </xdr:twoCellAnchor>
  <xdr:twoCellAnchor>
    <xdr:from>
      <xdr:col>12</xdr:col>
      <xdr:colOff>274320</xdr:colOff>
      <xdr:row>31</xdr:row>
      <xdr:rowOff>104775</xdr:rowOff>
    </xdr:from>
    <xdr:to>
      <xdr:col>13</xdr:col>
      <xdr:colOff>281940</xdr:colOff>
      <xdr:row>31</xdr:row>
      <xdr:rowOff>104775</xdr:rowOff>
    </xdr:to>
    <xdr:cxnSp macro="">
      <xdr:nvCxnSpPr>
        <xdr:cNvPr id="195" name="Straight Arrow Connector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CxnSpPr>
          <a:stCxn id="194" idx="3"/>
          <a:endCxn id="55" idx="1"/>
        </xdr:cNvCxnSpPr>
      </xdr:nvCxnSpPr>
      <xdr:spPr>
        <a:xfrm>
          <a:off x="6736080" y="5728335"/>
          <a:ext cx="518160" cy="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99060</xdr:colOff>
      <xdr:row>30</xdr:row>
      <xdr:rowOff>97155</xdr:rowOff>
    </xdr:from>
    <xdr:to>
      <xdr:col>16</xdr:col>
      <xdr:colOff>224790</xdr:colOff>
      <xdr:row>32</xdr:row>
      <xdr:rowOff>112395</xdr:rowOff>
    </xdr:to>
    <xdr:sp macro="" textlink="">
      <xdr:nvSpPr>
        <xdr:cNvPr id="196" name="Rounded Rectangle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8473440" y="5545455"/>
          <a:ext cx="521970" cy="36576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Divide</a:t>
          </a:r>
        </a:p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÷ 2</a:t>
          </a:r>
        </a:p>
      </xdr:txBody>
    </xdr:sp>
    <xdr:clientData/>
  </xdr:twoCellAnchor>
  <xdr:twoCellAnchor>
    <xdr:from>
      <xdr:col>14</xdr:col>
      <xdr:colOff>228600</xdr:colOff>
      <xdr:row>31</xdr:row>
      <xdr:rowOff>104775</xdr:rowOff>
    </xdr:from>
    <xdr:to>
      <xdr:col>15</xdr:col>
      <xdr:colOff>99060</xdr:colOff>
      <xdr:row>31</xdr:row>
      <xdr:rowOff>104775</xdr:rowOff>
    </xdr:to>
    <xdr:cxnSp macro="">
      <xdr:nvCxnSpPr>
        <xdr:cNvPr id="197" name="Straight Arrow Connector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CxnSpPr>
          <a:stCxn id="55" idx="3"/>
          <a:endCxn id="196" idx="1"/>
        </xdr:cNvCxnSpPr>
      </xdr:nvCxnSpPr>
      <xdr:spPr>
        <a:xfrm>
          <a:off x="7940040" y="5728335"/>
          <a:ext cx="533400" cy="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723900</xdr:colOff>
      <xdr:row>32</xdr:row>
      <xdr:rowOff>20722</xdr:rowOff>
    </xdr:from>
    <xdr:to>
      <xdr:col>16</xdr:col>
      <xdr:colOff>723900</xdr:colOff>
      <xdr:row>33</xdr:row>
      <xdr:rowOff>156210</xdr:rowOff>
    </xdr:to>
    <xdr:cxnSp macro="">
      <xdr:nvCxnSpPr>
        <xdr:cNvPr id="198" name="Straight Arrow Connector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CxnSpPr>
          <a:endCxn id="193" idx="3"/>
        </xdr:cNvCxnSpPr>
      </xdr:nvCxnSpPr>
      <xdr:spPr>
        <a:xfrm flipV="1">
          <a:off x="9494520" y="5819542"/>
          <a:ext cx="0" cy="310748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171450</xdr:colOff>
      <xdr:row>33</xdr:row>
      <xdr:rowOff>30480</xdr:rowOff>
    </xdr:from>
    <xdr:ext cx="720090" cy="42672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7143750" y="6004560"/>
          <a:ext cx="720090" cy="4267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r>
            <a:rPr lang="en-US" sz="1100" b="1" baseline="0">
              <a:latin typeface="Arial" pitchFamily="34" charset="0"/>
              <a:cs typeface="Arial" pitchFamily="34" charset="0"/>
            </a:rPr>
            <a:t>Must be 4 MHz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13</xdr:col>
      <xdr:colOff>3812</xdr:colOff>
      <xdr:row>32</xdr:row>
      <xdr:rowOff>148590</xdr:rowOff>
    </xdr:from>
    <xdr:to>
      <xdr:col>13</xdr:col>
      <xdr:colOff>213360</xdr:colOff>
      <xdr:row>33</xdr:row>
      <xdr:rowOff>160020</xdr:rowOff>
    </xdr:to>
    <xdr:cxnSp macro="">
      <xdr:nvCxnSpPr>
        <xdr:cNvPr id="200" name="Straight Arrow Connector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CxnSpPr/>
      </xdr:nvCxnSpPr>
      <xdr:spPr>
        <a:xfrm flipH="1" flipV="1">
          <a:off x="6976112" y="5947410"/>
          <a:ext cx="209548" cy="18669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392430</xdr:colOff>
      <xdr:row>31</xdr:row>
      <xdr:rowOff>102870</xdr:rowOff>
    </xdr:from>
    <xdr:to>
      <xdr:col>14</xdr:col>
      <xdr:colOff>403860</xdr:colOff>
      <xdr:row>37</xdr:row>
      <xdr:rowOff>22860</xdr:rowOff>
    </xdr:to>
    <xdr:cxnSp macro="">
      <xdr:nvCxnSpPr>
        <xdr:cNvPr id="201" name="Straight Arrow Connector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CxnSpPr/>
      </xdr:nvCxnSpPr>
      <xdr:spPr>
        <a:xfrm>
          <a:off x="8103870" y="5726430"/>
          <a:ext cx="11430" cy="97155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403860</xdr:colOff>
      <xdr:row>37</xdr:row>
      <xdr:rowOff>22860</xdr:rowOff>
    </xdr:from>
    <xdr:to>
      <xdr:col>15</xdr:col>
      <xdr:colOff>83820</xdr:colOff>
      <xdr:row>37</xdr:row>
      <xdr:rowOff>24195</xdr:rowOff>
    </xdr:to>
    <xdr:cxnSp macro="">
      <xdr:nvCxnSpPr>
        <xdr:cNvPr id="202" name="Straight Arrow Connector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CxnSpPr/>
      </xdr:nvCxnSpPr>
      <xdr:spPr>
        <a:xfrm>
          <a:off x="8115300" y="6697980"/>
          <a:ext cx="342900" cy="133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41910</xdr:colOff>
      <xdr:row>36</xdr:row>
      <xdr:rowOff>64770</xdr:rowOff>
    </xdr:from>
    <xdr:ext cx="1169670" cy="269369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8416290" y="6564630"/>
          <a:ext cx="116967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USB PLL Out</a:t>
          </a:r>
        </a:p>
      </xdr:txBody>
    </xdr:sp>
    <xdr:clientData/>
  </xdr:oneCellAnchor>
  <xdr:twoCellAnchor>
    <xdr:from>
      <xdr:col>10</xdr:col>
      <xdr:colOff>651510</xdr:colOff>
      <xdr:row>29</xdr:row>
      <xdr:rowOff>133350</xdr:rowOff>
    </xdr:from>
    <xdr:to>
      <xdr:col>16</xdr:col>
      <xdr:colOff>617220</xdr:colOff>
      <xdr:row>29</xdr:row>
      <xdr:rowOff>133350</xdr:rowOff>
    </xdr:to>
    <xdr:cxnSp macro="">
      <xdr:nvCxnSpPr>
        <xdr:cNvPr id="204" name="Straight Arrow Connector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CxnSpPr/>
      </xdr:nvCxnSpPr>
      <xdr:spPr>
        <a:xfrm>
          <a:off x="5901690" y="5406390"/>
          <a:ext cx="3486150" cy="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655320</xdr:colOff>
      <xdr:row>29</xdr:row>
      <xdr:rowOff>121920</xdr:rowOff>
    </xdr:from>
    <xdr:to>
      <xdr:col>10</xdr:col>
      <xdr:colOff>659130</xdr:colOff>
      <xdr:row>31</xdr:row>
      <xdr:rowOff>102870</xdr:rowOff>
    </xdr:to>
    <xdr:cxnSp macro="">
      <xdr:nvCxnSpPr>
        <xdr:cNvPr id="205" name="Straight Arrow Connector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CxnSpPr/>
      </xdr:nvCxnSpPr>
      <xdr:spPr>
        <a:xfrm flipH="1">
          <a:off x="5905500" y="5394960"/>
          <a:ext cx="3810" cy="33147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186690</xdr:colOff>
      <xdr:row>30</xdr:row>
      <xdr:rowOff>144780</xdr:rowOff>
    </xdr:from>
    <xdr:ext cx="620811" cy="269369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4804410" y="5593080"/>
          <a:ext cx="62081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POSC</a:t>
          </a:r>
        </a:p>
      </xdr:txBody>
    </xdr:sp>
    <xdr:clientData/>
  </xdr:oneCellAnchor>
  <xdr:twoCellAnchor>
    <xdr:from>
      <xdr:col>17</xdr:col>
      <xdr:colOff>457200</xdr:colOff>
      <xdr:row>27</xdr:row>
      <xdr:rowOff>152406</xdr:rowOff>
    </xdr:from>
    <xdr:to>
      <xdr:col>18</xdr:col>
      <xdr:colOff>83820</xdr:colOff>
      <xdr:row>31</xdr:row>
      <xdr:rowOff>41910</xdr:rowOff>
    </xdr:to>
    <xdr:sp macro="" textlink="">
      <xdr:nvSpPr>
        <xdr:cNvPr id="207" name="Trapezoid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 rot="5400000">
          <a:off x="9763128" y="5278758"/>
          <a:ext cx="590544" cy="182880"/>
        </a:xfrm>
        <a:prstGeom prst="trapezoid">
          <a:avLst>
            <a:gd name="adj" fmla="val 48171"/>
          </a:avLst>
        </a:prstGeom>
        <a:solidFill>
          <a:srgbClr val="C0C0C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548640</xdr:colOff>
      <xdr:row>30</xdr:row>
      <xdr:rowOff>173122</xdr:rowOff>
    </xdr:from>
    <xdr:to>
      <xdr:col>17</xdr:col>
      <xdr:colOff>552450</xdr:colOff>
      <xdr:row>32</xdr:row>
      <xdr:rowOff>140970</xdr:rowOff>
    </xdr:to>
    <xdr:cxnSp macro="">
      <xdr:nvCxnSpPr>
        <xdr:cNvPr id="208" name="Straight Arrow Connector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CxnSpPr>
          <a:endCxn id="207" idx="3"/>
        </xdr:cNvCxnSpPr>
      </xdr:nvCxnSpPr>
      <xdr:spPr>
        <a:xfrm flipH="1" flipV="1">
          <a:off x="10058400" y="5621422"/>
          <a:ext cx="3810" cy="318368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30</xdr:row>
      <xdr:rowOff>118110</xdr:rowOff>
    </xdr:from>
    <xdr:to>
      <xdr:col>17</xdr:col>
      <xdr:colOff>445770</xdr:colOff>
      <xdr:row>30</xdr:row>
      <xdr:rowOff>120018</xdr:rowOff>
    </xdr:to>
    <xdr:cxnSp macro="">
      <xdr:nvCxnSpPr>
        <xdr:cNvPr id="209" name="Straight Arrow Connector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CxnSpPr>
          <a:stCxn id="193" idx="0"/>
        </xdr:cNvCxnSpPr>
      </xdr:nvCxnSpPr>
      <xdr:spPr>
        <a:xfrm flipV="1">
          <a:off x="9585960" y="5566410"/>
          <a:ext cx="369570" cy="1908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224790</xdr:colOff>
      <xdr:row>31</xdr:row>
      <xdr:rowOff>102870</xdr:rowOff>
    </xdr:from>
    <xdr:to>
      <xdr:col>16</xdr:col>
      <xdr:colOff>624840</xdr:colOff>
      <xdr:row>31</xdr:row>
      <xdr:rowOff>104775</xdr:rowOff>
    </xdr:to>
    <xdr:cxnSp macro="">
      <xdr:nvCxnSpPr>
        <xdr:cNvPr id="210" name="Straight Arrow Connector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CxnSpPr>
          <a:stCxn id="196" idx="3"/>
        </xdr:cNvCxnSpPr>
      </xdr:nvCxnSpPr>
      <xdr:spPr>
        <a:xfrm flipV="1">
          <a:off x="8995410" y="5726430"/>
          <a:ext cx="400050" cy="190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169436</xdr:colOff>
      <xdr:row>28</xdr:row>
      <xdr:rowOff>64770</xdr:rowOff>
    </xdr:from>
    <xdr:to>
      <xdr:col>17</xdr:col>
      <xdr:colOff>438150</xdr:colOff>
      <xdr:row>28</xdr:row>
      <xdr:rowOff>69915</xdr:rowOff>
    </xdr:to>
    <xdr:cxnSp macro="">
      <xdr:nvCxnSpPr>
        <xdr:cNvPr id="211" name="Straight Arrow Connector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CxnSpPr>
          <a:stCxn id="212" idx="3"/>
        </xdr:cNvCxnSpPr>
      </xdr:nvCxnSpPr>
      <xdr:spPr>
        <a:xfrm flipV="1">
          <a:off x="5419616" y="5162550"/>
          <a:ext cx="4528294" cy="514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300990</xdr:colOff>
      <xdr:row>27</xdr:row>
      <xdr:rowOff>110490</xdr:rowOff>
    </xdr:from>
    <xdr:ext cx="500906" cy="269369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4918710" y="5033010"/>
          <a:ext cx="500906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FRC</a:t>
          </a:r>
        </a:p>
      </xdr:txBody>
    </xdr:sp>
    <xdr:clientData/>
  </xdr:oneCellAnchor>
  <xdr:oneCellAnchor>
    <xdr:from>
      <xdr:col>12</xdr:col>
      <xdr:colOff>38100</xdr:colOff>
      <xdr:row>26</xdr:row>
      <xdr:rowOff>114300</xdr:rowOff>
    </xdr:from>
    <xdr:ext cx="842988" cy="269369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6499860" y="4861560"/>
          <a:ext cx="842988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USB PLL</a:t>
          </a:r>
        </a:p>
      </xdr:txBody>
    </xdr:sp>
    <xdr:clientData/>
  </xdr:oneCellAnchor>
  <xdr:twoCellAnchor>
    <xdr:from>
      <xdr:col>12</xdr:col>
      <xdr:colOff>106202</xdr:colOff>
      <xdr:row>51</xdr:row>
      <xdr:rowOff>174690</xdr:rowOff>
    </xdr:from>
    <xdr:to>
      <xdr:col>13</xdr:col>
      <xdr:colOff>413385</xdr:colOff>
      <xdr:row>52</xdr:row>
      <xdr:rowOff>3810</xdr:rowOff>
    </xdr:to>
    <xdr:cxnSp macro="">
      <xdr:nvCxnSpPr>
        <xdr:cNvPr id="214" name="Straight Arrow Connector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CxnSpPr>
          <a:stCxn id="215" idx="3"/>
        </xdr:cNvCxnSpPr>
      </xdr:nvCxnSpPr>
      <xdr:spPr>
        <a:xfrm>
          <a:off x="6567962" y="9303450"/>
          <a:ext cx="817723" cy="438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696971</xdr:colOff>
      <xdr:row>51</xdr:row>
      <xdr:rowOff>40005</xdr:rowOff>
    </xdr:from>
    <xdr:ext cx="620811" cy="269369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5947151" y="9168765"/>
          <a:ext cx="62081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en-US" sz="1200" b="1">
              <a:latin typeface="Arial" pitchFamily="34" charset="0"/>
              <a:cs typeface="Arial" pitchFamily="34" charset="0"/>
            </a:rPr>
            <a:t>SOSC</a:t>
          </a:r>
        </a:p>
      </xdr:txBody>
    </xdr:sp>
    <xdr:clientData/>
  </xdr:oneCellAnchor>
  <xdr:twoCellAnchor>
    <xdr:from>
      <xdr:col>6</xdr:col>
      <xdr:colOff>7620</xdr:colOff>
      <xdr:row>13</xdr:row>
      <xdr:rowOff>95250</xdr:rowOff>
    </xdr:from>
    <xdr:to>
      <xdr:col>6</xdr:col>
      <xdr:colOff>542923</xdr:colOff>
      <xdr:row>13</xdr:row>
      <xdr:rowOff>97155</xdr:rowOff>
    </xdr:to>
    <xdr:cxnSp macro="">
      <xdr:nvCxnSpPr>
        <xdr:cNvPr id="216" name="Straight Arrow Connector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CxnSpPr>
          <a:endCxn id="218" idx="1"/>
        </xdr:cNvCxnSpPr>
      </xdr:nvCxnSpPr>
      <xdr:spPr>
        <a:xfrm flipV="1">
          <a:off x="2545080" y="2564130"/>
          <a:ext cx="535303" cy="190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396240</xdr:colOff>
      <xdr:row>13</xdr:row>
      <xdr:rowOff>88965</xdr:rowOff>
    </xdr:from>
    <xdr:to>
      <xdr:col>9</xdr:col>
      <xdr:colOff>45720</xdr:colOff>
      <xdr:row>13</xdr:row>
      <xdr:rowOff>95250</xdr:rowOff>
    </xdr:to>
    <xdr:cxnSp macro="">
      <xdr:nvCxnSpPr>
        <xdr:cNvPr id="217" name="Straight Arrow Connector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CxnSpPr>
          <a:stCxn id="218" idx="3"/>
          <a:endCxn id="219" idx="1"/>
        </xdr:cNvCxnSpPr>
      </xdr:nvCxnSpPr>
      <xdr:spPr>
        <a:xfrm flipV="1">
          <a:off x="3535680" y="2557845"/>
          <a:ext cx="1127760" cy="6285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542923</xdr:colOff>
      <xdr:row>12</xdr:row>
      <xdr:rowOff>152400</xdr:rowOff>
    </xdr:from>
    <xdr:to>
      <xdr:col>7</xdr:col>
      <xdr:colOff>396240</xdr:colOff>
      <xdr:row>14</xdr:row>
      <xdr:rowOff>38100</xdr:rowOff>
    </xdr:to>
    <xdr:sp macro="" textlink="">
      <xdr:nvSpPr>
        <xdr:cNvPr id="218" name="Rounded Rectangle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3080383" y="2446020"/>
          <a:ext cx="455297" cy="236220"/>
        </a:xfrm>
        <a:prstGeom prst="roundRect">
          <a:avLst/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lt1"/>
              </a:solidFill>
              <a:latin typeface="Arial" pitchFamily="34" charset="0"/>
              <a:ea typeface="+mn-ea"/>
              <a:cs typeface="Arial" pitchFamily="34" charset="0"/>
            </a:rPr>
            <a:t>÷ 16</a:t>
          </a:r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9</xdr:col>
      <xdr:colOff>45720</xdr:colOff>
      <xdr:row>12</xdr:row>
      <xdr:rowOff>129540</xdr:rowOff>
    </xdr:from>
    <xdr:ext cx="1061316" cy="269369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4663440" y="2423160"/>
          <a:ext cx="1061316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FRCDIV16 =</a:t>
          </a:r>
        </a:p>
      </xdr:txBody>
    </xdr:sp>
    <xdr:clientData/>
  </xdr:oneCellAnchor>
  <xdr:twoCellAnchor>
    <xdr:from>
      <xdr:col>8</xdr:col>
      <xdr:colOff>0</xdr:colOff>
      <xdr:row>9</xdr:row>
      <xdr:rowOff>131447</xdr:rowOff>
    </xdr:from>
    <xdr:to>
      <xdr:col>8</xdr:col>
      <xdr:colOff>0</xdr:colOff>
      <xdr:row>10</xdr:row>
      <xdr:rowOff>160020</xdr:rowOff>
    </xdr:to>
    <xdr:cxnSp macro="">
      <xdr:nvCxnSpPr>
        <xdr:cNvPr id="220" name="Straight Arrow Connector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CxnSpPr/>
      </xdr:nvCxnSpPr>
      <xdr:spPr>
        <a:xfrm>
          <a:off x="3878580" y="1891667"/>
          <a:ext cx="0" cy="203833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106680</xdr:colOff>
      <xdr:row>24</xdr:row>
      <xdr:rowOff>12762</xdr:rowOff>
    </xdr:from>
    <xdr:to>
      <xdr:col>16</xdr:col>
      <xdr:colOff>408060</xdr:colOff>
      <xdr:row>24</xdr:row>
      <xdr:rowOff>15240</xdr:rowOff>
    </xdr:to>
    <xdr:cxnSp macro="">
      <xdr:nvCxnSpPr>
        <xdr:cNvPr id="221" name="Straight Arrow Connector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CxnSpPr>
          <a:endCxn id="222" idx="1"/>
        </xdr:cNvCxnSpPr>
      </xdr:nvCxnSpPr>
      <xdr:spPr>
        <a:xfrm flipV="1">
          <a:off x="8877300" y="4409502"/>
          <a:ext cx="301380" cy="2478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408060</xdr:colOff>
      <xdr:row>23</xdr:row>
      <xdr:rowOff>53337</xdr:rowOff>
    </xdr:from>
    <xdr:ext cx="1373325" cy="269369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9178680" y="4274817"/>
          <a:ext cx="137332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en-US" sz="1200" b="1">
              <a:latin typeface="Arial" pitchFamily="34" charset="0"/>
              <a:cs typeface="Arial" pitchFamily="34" charset="0"/>
            </a:rPr>
            <a:t>System PLL Out</a:t>
          </a:r>
        </a:p>
      </xdr:txBody>
    </xdr:sp>
    <xdr:clientData/>
  </xdr:oneCellAnchor>
  <xdr:twoCellAnchor>
    <xdr:from>
      <xdr:col>16</xdr:col>
      <xdr:colOff>95250</xdr:colOff>
      <xdr:row>18</xdr:row>
      <xdr:rowOff>95250</xdr:rowOff>
    </xdr:from>
    <xdr:to>
      <xdr:col>16</xdr:col>
      <xdr:colOff>106680</xdr:colOff>
      <xdr:row>24</xdr:row>
      <xdr:rowOff>15240</xdr:rowOff>
    </xdr:to>
    <xdr:cxnSp macro="">
      <xdr:nvCxnSpPr>
        <xdr:cNvPr id="223" name="Straight Arrow Connector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CxnSpPr/>
      </xdr:nvCxnSpPr>
      <xdr:spPr>
        <a:xfrm>
          <a:off x="8865870" y="3440430"/>
          <a:ext cx="11430" cy="97155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163272</xdr:colOff>
      <xdr:row>64</xdr:row>
      <xdr:rowOff>30477</xdr:rowOff>
    </xdr:from>
    <xdr:ext cx="1150700" cy="269369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5413452" y="11460477"/>
          <a:ext cx="115070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en-US" sz="1200" b="1">
              <a:latin typeface="Arial" pitchFamily="34" charset="0"/>
              <a:cs typeface="Arial" pitchFamily="34" charset="0"/>
            </a:rPr>
            <a:t>USB PLL Out</a:t>
          </a:r>
        </a:p>
      </xdr:txBody>
    </xdr:sp>
    <xdr:clientData/>
  </xdr:oneCellAnchor>
  <xdr:oneCellAnchor>
    <xdr:from>
      <xdr:col>13</xdr:col>
      <xdr:colOff>87630</xdr:colOff>
      <xdr:row>20</xdr:row>
      <xdr:rowOff>45720</xdr:rowOff>
    </xdr:from>
    <xdr:ext cx="857250" cy="41910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7059930" y="3741420"/>
          <a:ext cx="857250" cy="41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r>
            <a:rPr lang="en-US" sz="1100" b="1" baseline="0">
              <a:latin typeface="Arial" pitchFamily="34" charset="0"/>
              <a:cs typeface="Arial" pitchFamily="34" charset="0"/>
            </a:rPr>
            <a:t>Must be 4 to 5 MHz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13</xdr:col>
      <xdr:colOff>15240</xdr:colOff>
      <xdr:row>19</xdr:row>
      <xdr:rowOff>160020</xdr:rowOff>
    </xdr:from>
    <xdr:to>
      <xdr:col>13</xdr:col>
      <xdr:colOff>167640</xdr:colOff>
      <xdr:row>20</xdr:row>
      <xdr:rowOff>106680</xdr:rowOff>
    </xdr:to>
    <xdr:cxnSp macro="">
      <xdr:nvCxnSpPr>
        <xdr:cNvPr id="226" name="Straight Arrow Connector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CxnSpPr/>
      </xdr:nvCxnSpPr>
      <xdr:spPr>
        <a:xfrm flipH="1" flipV="1">
          <a:off x="6987540" y="3680460"/>
          <a:ext cx="152400" cy="121920"/>
        </a:xfrm>
        <a:prstGeom prst="straightConnector1">
          <a:avLst/>
        </a:prstGeom>
        <a:ln w="25400">
          <a:solidFill>
            <a:schemeClr val="tx1"/>
          </a:solidFill>
          <a:headEnd w="med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76200</xdr:colOff>
      <xdr:row>0</xdr:row>
      <xdr:rowOff>99060</xdr:rowOff>
    </xdr:from>
    <xdr:to>
      <xdr:col>5</xdr:col>
      <xdr:colOff>129540</xdr:colOff>
      <xdr:row>2</xdr:row>
      <xdr:rowOff>28667</xdr:rowOff>
    </xdr:to>
    <xdr:pic>
      <xdr:nvPicPr>
        <xdr:cNvPr id="227" name="Picture 226" descr="MICH2C.bmp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99060"/>
          <a:ext cx="2004060" cy="4630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60960</xdr:colOff>
      <xdr:row>63</xdr:row>
      <xdr:rowOff>42358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595360" cy="1156379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0</xdr:col>
      <xdr:colOff>83820</xdr:colOff>
      <xdr:row>0</xdr:row>
      <xdr:rowOff>106680</xdr:rowOff>
    </xdr:from>
    <xdr:ext cx="1730410" cy="11569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3820" y="106680"/>
          <a:ext cx="1730410" cy="11569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3200" b="1"/>
            <a:t>PIC32MX</a:t>
          </a:r>
          <a:endParaRPr lang="en-US" sz="3200" b="1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US" sz="18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Oscillator</a:t>
          </a:r>
        </a:p>
        <a:p>
          <a:r>
            <a:rPr lang="en-US" sz="18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Block Diagram</a:t>
          </a:r>
          <a:endParaRPr lang="en-US" sz="18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7620</xdr:rowOff>
    </xdr:from>
    <xdr:to>
      <xdr:col>12</xdr:col>
      <xdr:colOff>60989</xdr:colOff>
      <xdr:row>59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DFF73B-4E8A-4133-986D-3A3FBF229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" y="7620"/>
          <a:ext cx="7322849" cy="10858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137160</xdr:rowOff>
    </xdr:from>
    <xdr:to>
      <xdr:col>9</xdr:col>
      <xdr:colOff>571500</xdr:colOff>
      <xdr:row>37</xdr:row>
      <xdr:rowOff>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040"/>
          <a:ext cx="6057900" cy="64465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0</xdr:col>
      <xdr:colOff>45720</xdr:colOff>
      <xdr:row>0</xdr:row>
      <xdr:rowOff>15240</xdr:rowOff>
    </xdr:from>
    <xdr:ext cx="1131977" cy="40543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45720" y="15240"/>
          <a:ext cx="1131977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PIC32MZ</a:t>
          </a:r>
          <a:endParaRPr lang="en-US" sz="2000" b="1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29E1-CBEC-4369-AAD9-25624951574D}">
  <dimension ref="C2:X290"/>
  <sheetViews>
    <sheetView tabSelected="1" workbookViewId="0">
      <selection activeCell="O16" sqref="O16"/>
    </sheetView>
  </sheetViews>
  <sheetFormatPr defaultRowHeight="13.8" x14ac:dyDescent="0.25"/>
  <cols>
    <col min="1" max="1" width="4.6640625" style="3" customWidth="1"/>
    <col min="2" max="2" width="4.77734375" style="3" customWidth="1"/>
    <col min="3" max="3" width="4.88671875" style="3" customWidth="1"/>
    <col min="4" max="4" width="8.33203125" style="3" customWidth="1"/>
    <col min="5" max="5" width="5.77734375" style="3" customWidth="1"/>
    <col min="6" max="6" width="8.5546875" style="3" customWidth="1"/>
    <col min="7" max="7" width="8.77734375" style="3" customWidth="1"/>
    <col min="8" max="9" width="10.77734375" style="3" customWidth="1"/>
    <col min="10" max="10" width="9.21875" style="3" customWidth="1"/>
    <col min="11" max="11" width="10.77734375" style="3" customWidth="1"/>
    <col min="12" max="12" width="6.88671875" style="3" customWidth="1"/>
    <col min="13" max="13" width="7.44140625" style="3" customWidth="1"/>
    <col min="14" max="14" width="10.77734375" style="3" customWidth="1"/>
    <col min="15" max="15" width="9.6640625" style="3" customWidth="1"/>
    <col min="16" max="16" width="5.77734375" style="3" customWidth="1"/>
    <col min="17" max="17" width="10.77734375" style="3" customWidth="1"/>
    <col min="18" max="18" width="8.109375" style="3" customWidth="1"/>
    <col min="19" max="19" width="5.77734375" style="3" customWidth="1"/>
    <col min="20" max="20" width="7.21875" style="3" customWidth="1"/>
    <col min="21" max="22" width="6.77734375" style="3" customWidth="1"/>
    <col min="23" max="23" width="9.5546875" style="3" customWidth="1"/>
    <col min="24" max="16384" width="8.88671875" style="3"/>
  </cols>
  <sheetData>
    <row r="2" spans="5:18" ht="28.2" x14ac:dyDescent="0.5">
      <c r="G2" s="10" t="s">
        <v>199</v>
      </c>
    </row>
    <row r="3" spans="5:18" x14ac:dyDescent="0.25">
      <c r="P3" s="12" t="s">
        <v>200</v>
      </c>
    </row>
    <row r="4" spans="5:18" x14ac:dyDescent="0.25">
      <c r="P4" s="12" t="s">
        <v>201</v>
      </c>
    </row>
    <row r="5" spans="5:18" x14ac:dyDescent="0.25">
      <c r="P5" s="12" t="s">
        <v>202</v>
      </c>
    </row>
    <row r="6" spans="5:18" x14ac:dyDescent="0.25">
      <c r="E6" s="3" t="s">
        <v>185</v>
      </c>
      <c r="P6" s="12" t="s">
        <v>383</v>
      </c>
    </row>
    <row r="10" spans="5:18" x14ac:dyDescent="0.25">
      <c r="H10" s="2" t="s">
        <v>184</v>
      </c>
      <c r="I10" s="46" t="s">
        <v>177</v>
      </c>
      <c r="J10" s="47"/>
    </row>
    <row r="11" spans="5:18" ht="14.4" customHeight="1" x14ac:dyDescent="0.25">
      <c r="F11" s="2">
        <v>8</v>
      </c>
      <c r="G11" s="3" t="s">
        <v>22</v>
      </c>
    </row>
    <row r="12" spans="5:18" x14ac:dyDescent="0.25">
      <c r="L12" s="2">
        <f>F11/R126</f>
        <v>4</v>
      </c>
      <c r="M12" s="3" t="s">
        <v>22</v>
      </c>
    </row>
    <row r="13" spans="5:18" x14ac:dyDescent="0.25">
      <c r="H13" s="8"/>
      <c r="L13" s="7"/>
    </row>
    <row r="14" spans="5:18" x14ac:dyDescent="0.25">
      <c r="L14" s="6"/>
    </row>
    <row r="16" spans="5:18" x14ac:dyDescent="0.25">
      <c r="H16" s="2" t="s">
        <v>24</v>
      </c>
      <c r="I16" s="14" t="s">
        <v>2</v>
      </c>
      <c r="K16" s="3" t="s">
        <v>25</v>
      </c>
      <c r="L16" s="14" t="s">
        <v>32</v>
      </c>
      <c r="N16" s="2" t="s">
        <v>26</v>
      </c>
      <c r="O16" s="14" t="s">
        <v>98</v>
      </c>
      <c r="Q16" s="2" t="s">
        <v>27</v>
      </c>
      <c r="R16" s="14" t="s">
        <v>4</v>
      </c>
    </row>
    <row r="18" spans="4:23" x14ac:dyDescent="0.25">
      <c r="U18" s="6">
        <f>P19/J110</f>
        <v>200</v>
      </c>
      <c r="V18" s="3" t="s">
        <v>22</v>
      </c>
    </row>
    <row r="19" spans="4:23" x14ac:dyDescent="0.25">
      <c r="J19" s="4">
        <f>IF(I16="PLL_FRC", F11, F25)</f>
        <v>8</v>
      </c>
      <c r="M19" s="4">
        <f>J19/J103</f>
        <v>8</v>
      </c>
      <c r="P19" s="6">
        <f>IF(O23="Bypass",M19,M19*F217)</f>
        <v>400</v>
      </c>
    </row>
    <row r="22" spans="4:23" x14ac:dyDescent="0.25">
      <c r="D22" s="2" t="s">
        <v>371</v>
      </c>
      <c r="E22" s="13">
        <v>12</v>
      </c>
      <c r="F22" s="3" t="s">
        <v>22</v>
      </c>
    </row>
    <row r="23" spans="4:23" x14ac:dyDescent="0.25">
      <c r="D23" s="2" t="s">
        <v>372</v>
      </c>
      <c r="E23" s="14">
        <v>22</v>
      </c>
      <c r="F23" s="3" t="s">
        <v>22</v>
      </c>
      <c r="N23" s="2" t="s">
        <v>49</v>
      </c>
      <c r="O23" s="46" t="s">
        <v>375</v>
      </c>
      <c r="P23" s="48"/>
      <c r="Q23" s="47"/>
    </row>
    <row r="25" spans="4:23" x14ac:dyDescent="0.25">
      <c r="E25" s="2" t="s">
        <v>44</v>
      </c>
      <c r="F25" s="5">
        <f>IF(I30="HS",E23,IF(I30="EC",E22,0))</f>
        <v>12</v>
      </c>
      <c r="G25" s="3" t="str">
        <f>F23</f>
        <v>MHz</v>
      </c>
    </row>
    <row r="26" spans="4:23" x14ac:dyDescent="0.25">
      <c r="E26" s="2" t="s">
        <v>45</v>
      </c>
    </row>
    <row r="27" spans="4:23" x14ac:dyDescent="0.25">
      <c r="R27" s="2" t="s">
        <v>198</v>
      </c>
      <c r="S27" s="15">
        <v>2</v>
      </c>
    </row>
    <row r="28" spans="4:23" x14ac:dyDescent="0.25">
      <c r="K28" s="2"/>
      <c r="L28" s="2" t="s">
        <v>186</v>
      </c>
      <c r="M28" s="49" t="s">
        <v>190</v>
      </c>
      <c r="N28" s="50"/>
      <c r="V28" s="3">
        <f>$R$49/S27</f>
        <v>100</v>
      </c>
      <c r="W28" s="3" t="s">
        <v>22</v>
      </c>
    </row>
    <row r="30" spans="4:23" x14ac:dyDescent="0.25">
      <c r="E30" s="2" t="s">
        <v>46</v>
      </c>
      <c r="H30" s="2" t="s">
        <v>23</v>
      </c>
      <c r="I30" s="1" t="s">
        <v>29</v>
      </c>
      <c r="R30" s="2" t="s">
        <v>198</v>
      </c>
      <c r="S30" s="15">
        <v>2</v>
      </c>
    </row>
    <row r="31" spans="4:23" x14ac:dyDescent="0.25">
      <c r="E31" s="2" t="s">
        <v>47</v>
      </c>
      <c r="V31" s="3">
        <f>$R$49/S30</f>
        <v>100</v>
      </c>
      <c r="W31" s="3" t="s">
        <v>22</v>
      </c>
    </row>
    <row r="32" spans="4:23" x14ac:dyDescent="0.25">
      <c r="E32" s="2"/>
    </row>
    <row r="33" spans="4:23" x14ac:dyDescent="0.25">
      <c r="E33" s="2"/>
      <c r="I33" s="30">
        <f>V28/2</f>
        <v>50</v>
      </c>
      <c r="J33" s="3" t="s">
        <v>22</v>
      </c>
      <c r="R33" s="2" t="s">
        <v>198</v>
      </c>
      <c r="S33" s="15">
        <v>2</v>
      </c>
    </row>
    <row r="34" spans="4:23" x14ac:dyDescent="0.25">
      <c r="E34" s="2"/>
      <c r="V34" s="3">
        <f>$R$49/S33</f>
        <v>100</v>
      </c>
      <c r="W34" s="3" t="s">
        <v>22</v>
      </c>
    </row>
    <row r="35" spans="4:23" x14ac:dyDescent="0.25">
      <c r="E35" s="2"/>
      <c r="F35" s="2" t="s">
        <v>194</v>
      </c>
      <c r="G35" s="14" t="s">
        <v>0</v>
      </c>
      <c r="L35" s="2" t="s">
        <v>187</v>
      </c>
      <c r="M35" s="14" t="s">
        <v>0</v>
      </c>
    </row>
    <row r="36" spans="4:23" x14ac:dyDescent="0.25">
      <c r="E36" s="2"/>
      <c r="R36" s="2" t="s">
        <v>198</v>
      </c>
      <c r="S36" s="15">
        <v>2</v>
      </c>
    </row>
    <row r="37" spans="4:23" x14ac:dyDescent="0.25">
      <c r="E37" s="2"/>
      <c r="V37" s="3">
        <f>$R$49/S36</f>
        <v>100</v>
      </c>
      <c r="W37" s="3" t="s">
        <v>22</v>
      </c>
    </row>
    <row r="38" spans="4:23" x14ac:dyDescent="0.25">
      <c r="E38" s="2"/>
      <c r="F38" s="3">
        <v>8</v>
      </c>
      <c r="G38" s="8" t="s">
        <v>22</v>
      </c>
    </row>
    <row r="39" spans="4:23" x14ac:dyDescent="0.25">
      <c r="E39" s="2"/>
      <c r="R39" s="2" t="s">
        <v>198</v>
      </c>
      <c r="S39" s="15">
        <v>2</v>
      </c>
    </row>
    <row r="40" spans="4:23" x14ac:dyDescent="0.25">
      <c r="E40" s="2"/>
      <c r="M40" s="3">
        <f>$L$12</f>
        <v>4</v>
      </c>
      <c r="N40" s="3" t="s">
        <v>22</v>
      </c>
      <c r="V40" s="3">
        <f>$R$49/S39</f>
        <v>100</v>
      </c>
      <c r="W40" s="3" t="s">
        <v>22</v>
      </c>
    </row>
    <row r="42" spans="4:23" x14ac:dyDescent="0.25">
      <c r="E42" s="2"/>
      <c r="F42" s="3">
        <v>32</v>
      </c>
      <c r="G42" s="8" t="s">
        <v>48</v>
      </c>
      <c r="M42" s="3">
        <f>$U$18</f>
        <v>200</v>
      </c>
      <c r="N42" s="3" t="s">
        <v>22</v>
      </c>
      <c r="R42" s="2" t="s">
        <v>198</v>
      </c>
      <c r="S42" s="15">
        <v>1</v>
      </c>
    </row>
    <row r="43" spans="4:23" x14ac:dyDescent="0.25">
      <c r="E43" s="2"/>
      <c r="V43" s="3">
        <f>$R$49/S42</f>
        <v>200</v>
      </c>
      <c r="W43" s="3" t="s">
        <v>22</v>
      </c>
    </row>
    <row r="44" spans="4:23" x14ac:dyDescent="0.25">
      <c r="E44" s="2"/>
      <c r="M44" s="3">
        <f>$F$25</f>
        <v>12</v>
      </c>
      <c r="N44" s="3" t="s">
        <v>22</v>
      </c>
    </row>
    <row r="45" spans="4:23" x14ac:dyDescent="0.25">
      <c r="E45" s="2"/>
      <c r="R45" s="2" t="s">
        <v>198</v>
      </c>
      <c r="S45" s="15">
        <v>2</v>
      </c>
    </row>
    <row r="46" spans="4:23" x14ac:dyDescent="0.25">
      <c r="D46" s="2" t="s">
        <v>372</v>
      </c>
      <c r="E46" s="14">
        <v>32.768000000000001</v>
      </c>
      <c r="F46" s="3" t="s">
        <v>48</v>
      </c>
      <c r="G46" s="3">
        <f>IF($I$51="ON", $E$46, 0)</f>
        <v>32.768000000000001</v>
      </c>
      <c r="H46" s="3" t="s">
        <v>48</v>
      </c>
      <c r="M46" s="3">
        <v>8</v>
      </c>
      <c r="N46" s="3" t="s">
        <v>22</v>
      </c>
      <c r="V46" s="3">
        <f>$R$49/S45</f>
        <v>100</v>
      </c>
      <c r="W46" s="3" t="s">
        <v>22</v>
      </c>
    </row>
    <row r="47" spans="4:23" x14ac:dyDescent="0.25">
      <c r="E47" s="2" t="s">
        <v>192</v>
      </c>
    </row>
    <row r="48" spans="4:23" x14ac:dyDescent="0.25">
      <c r="E48" s="2"/>
      <c r="M48" s="3">
        <v>32</v>
      </c>
      <c r="N48" s="3" t="s">
        <v>48</v>
      </c>
    </row>
    <row r="49" spans="5:21" x14ac:dyDescent="0.25">
      <c r="E49" s="2"/>
      <c r="R49" s="3">
        <f>K118</f>
        <v>200</v>
      </c>
      <c r="S49" s="3" t="s">
        <v>22</v>
      </c>
    </row>
    <row r="50" spans="5:21" x14ac:dyDescent="0.25">
      <c r="E50" s="2"/>
      <c r="M50" s="9">
        <f>$G$46</f>
        <v>32.768000000000001</v>
      </c>
      <c r="N50" s="3" t="s">
        <v>48</v>
      </c>
    </row>
    <row r="51" spans="5:21" x14ac:dyDescent="0.25">
      <c r="H51" s="2" t="s">
        <v>193</v>
      </c>
      <c r="I51" s="14" t="s">
        <v>0</v>
      </c>
    </row>
    <row r="52" spans="5:21" x14ac:dyDescent="0.25">
      <c r="E52" s="2" t="s">
        <v>191</v>
      </c>
    </row>
    <row r="53" spans="5:21" x14ac:dyDescent="0.25">
      <c r="E53" s="2"/>
    </row>
    <row r="54" spans="5:21" x14ac:dyDescent="0.25">
      <c r="N54" s="2" t="s">
        <v>41</v>
      </c>
      <c r="O54" s="14" t="s">
        <v>28</v>
      </c>
    </row>
    <row r="55" spans="5:21" x14ac:dyDescent="0.25">
      <c r="S55" s="6"/>
      <c r="U55" s="4"/>
    </row>
    <row r="56" spans="5:21" ht="15.6" x14ac:dyDescent="0.3">
      <c r="H56" s="11"/>
      <c r="U56" s="6"/>
    </row>
    <row r="57" spans="5:21" x14ac:dyDescent="0.25">
      <c r="U57" s="6"/>
    </row>
    <row r="59" spans="5:21" x14ac:dyDescent="0.25">
      <c r="M59" s="3">
        <v>8</v>
      </c>
      <c r="N59" s="3" t="s">
        <v>22</v>
      </c>
    </row>
    <row r="61" spans="5:21" x14ac:dyDescent="0.25">
      <c r="G61" s="2" t="s">
        <v>13</v>
      </c>
      <c r="M61" s="3">
        <f>$U$18</f>
        <v>200</v>
      </c>
      <c r="N61" s="3" t="s">
        <v>22</v>
      </c>
      <c r="T61" s="2"/>
    </row>
    <row r="62" spans="5:21" x14ac:dyDescent="0.25">
      <c r="G62" s="2" t="s">
        <v>8</v>
      </c>
      <c r="H62" s="3" t="str">
        <f>O54</f>
        <v>SPLL</v>
      </c>
    </row>
    <row r="63" spans="5:21" x14ac:dyDescent="0.25">
      <c r="G63" s="2" t="s">
        <v>9</v>
      </c>
      <c r="H63" s="3" t="str">
        <f>I51</f>
        <v>ON</v>
      </c>
      <c r="M63" s="3">
        <f>$F$25</f>
        <v>12</v>
      </c>
      <c r="N63" s="3" t="s">
        <v>22</v>
      </c>
    </row>
    <row r="64" spans="5:21" x14ac:dyDescent="0.25">
      <c r="G64" s="2" t="s">
        <v>10</v>
      </c>
      <c r="H64" s="3" t="str">
        <f>I30</f>
        <v>EC</v>
      </c>
    </row>
    <row r="65" spans="5:24" x14ac:dyDescent="0.25">
      <c r="G65" s="2" t="s">
        <v>11</v>
      </c>
      <c r="H65" s="3" t="str">
        <f>G35</f>
        <v>ON</v>
      </c>
      <c r="M65" s="3">
        <v>8</v>
      </c>
      <c r="N65" s="3" t="s">
        <v>22</v>
      </c>
      <c r="P65" s="5" t="s">
        <v>364</v>
      </c>
      <c r="Q65" s="15">
        <v>218</v>
      </c>
    </row>
    <row r="66" spans="5:24" x14ac:dyDescent="0.25">
      <c r="G66" s="2"/>
      <c r="P66" s="5" t="s">
        <v>365</v>
      </c>
      <c r="Q66" s="15">
        <v>5</v>
      </c>
      <c r="R66" s="36"/>
    </row>
    <row r="67" spans="5:24" x14ac:dyDescent="0.25">
      <c r="G67" s="2" t="s">
        <v>14</v>
      </c>
      <c r="M67" s="3">
        <v>32</v>
      </c>
      <c r="N67" s="3" t="s">
        <v>48</v>
      </c>
    </row>
    <row r="68" spans="5:24" x14ac:dyDescent="0.25">
      <c r="G68" s="2" t="s">
        <v>16</v>
      </c>
      <c r="H68" s="3" t="str">
        <f>I16</f>
        <v>PLL_FRC</v>
      </c>
      <c r="W68" s="34">
        <f>IF($Q$66=0, $O$69, ($O$69/(2*$T$230)))</f>
        <v>18.430525557955363</v>
      </c>
      <c r="X68" s="3" t="s">
        <v>22</v>
      </c>
    </row>
    <row r="69" spans="5:24" x14ac:dyDescent="0.25">
      <c r="G69" s="2" t="s">
        <v>18</v>
      </c>
      <c r="H69" s="3" t="str">
        <f>L16</f>
        <v>DIV_1</v>
      </c>
      <c r="M69" s="9">
        <f>$G$46</f>
        <v>32.768000000000001</v>
      </c>
      <c r="N69" s="3" t="s">
        <v>48</v>
      </c>
      <c r="O69" s="3">
        <f>U210</f>
        <v>200</v>
      </c>
      <c r="Q69" s="9"/>
    </row>
    <row r="70" spans="5:24" x14ac:dyDescent="0.25">
      <c r="G70" s="2" t="s">
        <v>15</v>
      </c>
      <c r="H70" s="3" t="str">
        <f>O16</f>
        <v>MUL_50</v>
      </c>
    </row>
    <row r="71" spans="5:24" x14ac:dyDescent="0.25">
      <c r="G71" s="2" t="s">
        <v>12</v>
      </c>
      <c r="H71" s="3" t="str">
        <f>R16</f>
        <v>DIV_2</v>
      </c>
      <c r="M71" s="3">
        <f>V28</f>
        <v>100</v>
      </c>
      <c r="N71" s="3" t="s">
        <v>22</v>
      </c>
    </row>
    <row r="72" spans="5:24" x14ac:dyDescent="0.25">
      <c r="G72" s="2" t="s">
        <v>17</v>
      </c>
      <c r="H72" s="3" t="str">
        <f>O23</f>
        <v>RANGE_5_10_MHZ</v>
      </c>
    </row>
    <row r="73" spans="5:24" x14ac:dyDescent="0.25">
      <c r="G73" s="2" t="s">
        <v>188</v>
      </c>
      <c r="H73" s="3" t="str">
        <f>M35</f>
        <v>ON</v>
      </c>
      <c r="M73" s="3">
        <f>R49</f>
        <v>200</v>
      </c>
      <c r="N73" s="3" t="s">
        <v>22</v>
      </c>
    </row>
    <row r="74" spans="5:24" x14ac:dyDescent="0.25">
      <c r="G74" s="2" t="s">
        <v>189</v>
      </c>
      <c r="H74" s="3" t="str">
        <f>M28</f>
        <v>FREQ_12MHZ</v>
      </c>
    </row>
    <row r="75" spans="5:24" x14ac:dyDescent="0.25">
      <c r="E75" s="2"/>
      <c r="M75" s="14">
        <v>2</v>
      </c>
      <c r="N75" s="3" t="s">
        <v>22</v>
      </c>
    </row>
    <row r="76" spans="5:24" x14ac:dyDescent="0.25">
      <c r="E76" s="2"/>
      <c r="M76" s="9"/>
      <c r="U76" s="3" t="s">
        <v>370</v>
      </c>
    </row>
    <row r="77" spans="5:24" x14ac:dyDescent="0.25">
      <c r="E77" s="2"/>
    </row>
    <row r="78" spans="5:24" x14ac:dyDescent="0.25">
      <c r="E78" s="2"/>
    </row>
    <row r="79" spans="5:24" x14ac:dyDescent="0.25">
      <c r="E79" s="2"/>
      <c r="N79" s="32" t="s">
        <v>366</v>
      </c>
      <c r="O79" s="49" t="s">
        <v>339</v>
      </c>
      <c r="P79" s="51"/>
      <c r="Q79" s="51"/>
      <c r="R79" s="51"/>
      <c r="S79" s="50"/>
    </row>
    <row r="80" spans="5:24" x14ac:dyDescent="0.25">
      <c r="E80" s="2"/>
    </row>
    <row r="81" spans="3:14" x14ac:dyDescent="0.25">
      <c r="E81" s="2"/>
    </row>
    <row r="82" spans="3:14" x14ac:dyDescent="0.25">
      <c r="E82" s="2"/>
    </row>
    <row r="83" spans="3:14" x14ac:dyDescent="0.25">
      <c r="E83" s="2"/>
    </row>
    <row r="84" spans="3:14" ht="14.4" thickBot="1" x14ac:dyDescent="0.3">
      <c r="E84" s="2"/>
    </row>
    <row r="85" spans="3:14" x14ac:dyDescent="0.25">
      <c r="C85" s="16"/>
      <c r="D85" s="17"/>
      <c r="E85" s="17"/>
      <c r="F85" s="17" t="s">
        <v>247</v>
      </c>
      <c r="G85" s="17"/>
      <c r="H85" s="17"/>
      <c r="I85" s="17"/>
      <c r="J85" s="17"/>
      <c r="K85" s="17"/>
      <c r="L85" s="18"/>
    </row>
    <row r="86" spans="3:14" x14ac:dyDescent="0.25">
      <c r="C86" s="25"/>
      <c r="D86" s="26"/>
      <c r="E86" s="26"/>
      <c r="F86" s="26"/>
      <c r="G86" s="26"/>
      <c r="H86" s="26"/>
      <c r="I86" s="26"/>
      <c r="J86" s="26"/>
      <c r="K86" s="26"/>
      <c r="L86" s="27"/>
    </row>
    <row r="87" spans="3:14" ht="14.4" thickBot="1" x14ac:dyDescent="0.3">
      <c r="C87" s="22" t="s">
        <v>248</v>
      </c>
      <c r="D87" s="23"/>
      <c r="E87" s="23" t="s">
        <v>249</v>
      </c>
      <c r="F87" s="23"/>
      <c r="G87" s="22"/>
      <c r="H87" s="23" t="s">
        <v>248</v>
      </c>
      <c r="I87" s="23" t="s">
        <v>249</v>
      </c>
      <c r="J87" s="23"/>
      <c r="K87" s="23"/>
      <c r="L87" s="24"/>
    </row>
    <row r="88" spans="3:14" x14ac:dyDescent="0.25">
      <c r="C88" s="19"/>
      <c r="D88" s="5" t="s">
        <v>26</v>
      </c>
      <c r="E88" s="4"/>
      <c r="F88" s="20"/>
      <c r="G88" s="4"/>
      <c r="H88" s="5" t="s">
        <v>23</v>
      </c>
      <c r="I88" s="4" t="s">
        <v>29</v>
      </c>
      <c r="J88" s="4"/>
      <c r="K88" s="4"/>
      <c r="L88" s="20"/>
      <c r="N88" s="8" t="s">
        <v>374</v>
      </c>
    </row>
    <row r="89" spans="3:14" x14ac:dyDescent="0.25">
      <c r="C89" s="19"/>
      <c r="D89" s="4">
        <v>1</v>
      </c>
      <c r="E89" s="4" t="s">
        <v>38</v>
      </c>
      <c r="F89" s="20">
        <f>IF($O$16=E89, D89, 0)</f>
        <v>0</v>
      </c>
      <c r="G89" s="4"/>
      <c r="H89" s="5"/>
      <c r="I89" s="4" t="s">
        <v>30</v>
      </c>
      <c r="J89" s="4"/>
      <c r="K89" s="4"/>
      <c r="L89" s="20"/>
      <c r="N89" s="8" t="s">
        <v>197</v>
      </c>
    </row>
    <row r="90" spans="3:14" x14ac:dyDescent="0.25">
      <c r="C90" s="19"/>
      <c r="D90" s="4">
        <v>2</v>
      </c>
      <c r="E90" s="4" t="s">
        <v>39</v>
      </c>
      <c r="F90" s="20">
        <f>IF($O$16=E90, D90, 0)</f>
        <v>0</v>
      </c>
      <c r="G90" s="4"/>
      <c r="H90" s="5"/>
      <c r="I90" s="4" t="s">
        <v>7</v>
      </c>
      <c r="J90" s="4"/>
      <c r="K90" s="4"/>
      <c r="L90" s="20"/>
      <c r="N90" s="8" t="s">
        <v>196</v>
      </c>
    </row>
    <row r="91" spans="3:14" x14ac:dyDescent="0.25">
      <c r="C91" s="19"/>
      <c r="D91" s="4">
        <f>D90+1</f>
        <v>3</v>
      </c>
      <c r="E91" s="4" t="s">
        <v>51</v>
      </c>
      <c r="F91" s="20">
        <f t="shared" ref="F91:F154" si="0">IF($O$16=E91, D91, 0)</f>
        <v>0</v>
      </c>
      <c r="G91" s="4"/>
      <c r="H91" s="5"/>
      <c r="I91" s="4"/>
      <c r="J91" s="4"/>
      <c r="K91" s="4"/>
      <c r="L91" s="20"/>
      <c r="N91" s="3" t="s">
        <v>324</v>
      </c>
    </row>
    <row r="92" spans="3:14" x14ac:dyDescent="0.25">
      <c r="C92" s="19"/>
      <c r="D92" s="4">
        <f>D91+1</f>
        <v>4</v>
      </c>
      <c r="E92" s="4" t="s">
        <v>52</v>
      </c>
      <c r="F92" s="20">
        <f t="shared" si="0"/>
        <v>0</v>
      </c>
      <c r="G92" s="4"/>
      <c r="H92" s="5" t="s">
        <v>24</v>
      </c>
      <c r="I92" s="4" t="s">
        <v>2</v>
      </c>
      <c r="J92" s="4"/>
      <c r="K92" s="4"/>
      <c r="L92" s="20"/>
      <c r="N92" s="3" t="s">
        <v>325</v>
      </c>
    </row>
    <row r="93" spans="3:14" x14ac:dyDescent="0.25">
      <c r="C93" s="19"/>
      <c r="D93" s="4">
        <f t="shared" ref="D93:D156" si="1">D92+1</f>
        <v>5</v>
      </c>
      <c r="E93" s="4" t="s">
        <v>53</v>
      </c>
      <c r="F93" s="20">
        <f t="shared" si="0"/>
        <v>0</v>
      </c>
      <c r="G93" s="4"/>
      <c r="H93" s="5"/>
      <c r="I93" s="4" t="s">
        <v>31</v>
      </c>
      <c r="J93" s="4"/>
      <c r="K93" s="4"/>
      <c r="L93" s="20"/>
      <c r="N93" s="3" t="s">
        <v>326</v>
      </c>
    </row>
    <row r="94" spans="3:14" x14ac:dyDescent="0.25">
      <c r="C94" s="19"/>
      <c r="D94" s="4">
        <f t="shared" si="1"/>
        <v>6</v>
      </c>
      <c r="E94" s="4" t="s">
        <v>54</v>
      </c>
      <c r="F94" s="20">
        <f t="shared" si="0"/>
        <v>0</v>
      </c>
      <c r="G94" s="4"/>
      <c r="H94" s="5"/>
      <c r="I94" s="4"/>
      <c r="J94" s="4"/>
      <c r="K94" s="4"/>
      <c r="L94" s="20"/>
      <c r="N94" s="3" t="s">
        <v>327</v>
      </c>
    </row>
    <row r="95" spans="3:14" x14ac:dyDescent="0.25">
      <c r="C95" s="19"/>
      <c r="D95" s="4">
        <f t="shared" si="1"/>
        <v>7</v>
      </c>
      <c r="E95" s="4" t="s">
        <v>55</v>
      </c>
      <c r="F95" s="20">
        <f t="shared" si="0"/>
        <v>0</v>
      </c>
      <c r="G95" s="4"/>
      <c r="H95" s="5" t="s">
        <v>25</v>
      </c>
      <c r="I95" s="4" t="s">
        <v>32</v>
      </c>
      <c r="J95" s="4">
        <f>IF($L$16="DIV_1", 1, 0)</f>
        <v>1</v>
      </c>
      <c r="K95" s="4"/>
      <c r="L95" s="20"/>
      <c r="N95" s="3" t="s">
        <v>328</v>
      </c>
    </row>
    <row r="96" spans="3:14" x14ac:dyDescent="0.25">
      <c r="C96" s="19"/>
      <c r="D96" s="4">
        <f t="shared" si="1"/>
        <v>8</v>
      </c>
      <c r="E96" s="4" t="s">
        <v>56</v>
      </c>
      <c r="F96" s="20">
        <f t="shared" si="0"/>
        <v>0</v>
      </c>
      <c r="G96" s="4"/>
      <c r="H96" s="5"/>
      <c r="I96" s="4" t="s">
        <v>4</v>
      </c>
      <c r="J96" s="4">
        <f>IF($L$16="DIV_2", 2, 0)</f>
        <v>0</v>
      </c>
      <c r="K96" s="4"/>
      <c r="L96" s="20"/>
      <c r="N96" s="3" t="s">
        <v>329</v>
      </c>
    </row>
    <row r="97" spans="3:14" x14ac:dyDescent="0.25">
      <c r="C97" s="19"/>
      <c r="D97" s="4">
        <f t="shared" si="1"/>
        <v>9</v>
      </c>
      <c r="E97" s="4" t="s">
        <v>57</v>
      </c>
      <c r="F97" s="20">
        <f t="shared" si="0"/>
        <v>0</v>
      </c>
      <c r="G97" s="4"/>
      <c r="H97" s="5"/>
      <c r="I97" s="4" t="s">
        <v>33</v>
      </c>
      <c r="J97" s="4">
        <f>IF($L$16="DIV_3", 3, 0)</f>
        <v>0</v>
      </c>
      <c r="K97" s="4"/>
      <c r="L97" s="20"/>
      <c r="N97" s="3" t="s">
        <v>323</v>
      </c>
    </row>
    <row r="98" spans="3:14" x14ac:dyDescent="0.25">
      <c r="C98" s="19"/>
      <c r="D98" s="4">
        <f t="shared" si="1"/>
        <v>10</v>
      </c>
      <c r="E98" s="4" t="s">
        <v>58</v>
      </c>
      <c r="F98" s="20">
        <f t="shared" si="0"/>
        <v>0</v>
      </c>
      <c r="G98" s="4"/>
      <c r="H98" s="5"/>
      <c r="I98" s="4" t="s">
        <v>34</v>
      </c>
      <c r="J98" s="4">
        <f>IF($L$16="DIV_4", 4, 0)</f>
        <v>0</v>
      </c>
      <c r="K98" s="4"/>
      <c r="L98" s="20"/>
      <c r="N98" s="3" t="s">
        <v>318</v>
      </c>
    </row>
    <row r="99" spans="3:14" x14ac:dyDescent="0.25">
      <c r="C99" s="19"/>
      <c r="D99" s="4">
        <f t="shared" si="1"/>
        <v>11</v>
      </c>
      <c r="E99" s="4" t="s">
        <v>59</v>
      </c>
      <c r="F99" s="20">
        <f t="shared" si="0"/>
        <v>0</v>
      </c>
      <c r="G99" s="4"/>
      <c r="H99" s="5"/>
      <c r="I99" s="4" t="s">
        <v>35</v>
      </c>
      <c r="J99" s="4">
        <f>IF($L$16="DIV_5", 5, 0)</f>
        <v>0</v>
      </c>
      <c r="K99" s="4"/>
      <c r="L99" s="20"/>
      <c r="N99" s="3" t="s">
        <v>319</v>
      </c>
    </row>
    <row r="100" spans="3:14" x14ac:dyDescent="0.25">
      <c r="C100" s="19"/>
      <c r="D100" s="4">
        <f t="shared" si="1"/>
        <v>12</v>
      </c>
      <c r="E100" s="4" t="s">
        <v>60</v>
      </c>
      <c r="F100" s="20">
        <f t="shared" si="0"/>
        <v>0</v>
      </c>
      <c r="G100" s="4"/>
      <c r="H100" s="5"/>
      <c r="I100" s="4" t="s">
        <v>36</v>
      </c>
      <c r="J100" s="4">
        <f>IF($L$16="DIV_6", 6, 0)</f>
        <v>0</v>
      </c>
      <c r="K100" s="4"/>
      <c r="L100" s="20"/>
      <c r="N100" s="3" t="s">
        <v>320</v>
      </c>
    </row>
    <row r="101" spans="3:14" x14ac:dyDescent="0.25">
      <c r="C101" s="19"/>
      <c r="D101" s="4">
        <f t="shared" si="1"/>
        <v>13</v>
      </c>
      <c r="E101" s="4" t="s">
        <v>61</v>
      </c>
      <c r="F101" s="20">
        <f t="shared" si="0"/>
        <v>0</v>
      </c>
      <c r="G101" s="4"/>
      <c r="H101" s="5"/>
      <c r="I101" s="4" t="s">
        <v>37</v>
      </c>
      <c r="J101" s="4">
        <f>IF($L$16="DIV_7", 7, 0)</f>
        <v>0</v>
      </c>
      <c r="K101" s="4"/>
      <c r="L101" s="20"/>
      <c r="N101" s="3" t="s">
        <v>321</v>
      </c>
    </row>
    <row r="102" spans="3:14" x14ac:dyDescent="0.25">
      <c r="C102" s="19"/>
      <c r="D102" s="4">
        <f t="shared" si="1"/>
        <v>14</v>
      </c>
      <c r="E102" s="4" t="s">
        <v>62</v>
      </c>
      <c r="F102" s="20">
        <f t="shared" si="0"/>
        <v>0</v>
      </c>
      <c r="G102" s="4"/>
      <c r="H102" s="5"/>
      <c r="I102" s="4" t="s">
        <v>1</v>
      </c>
      <c r="J102" s="4">
        <f>IF($L$16="DIV_8", 8, 0)</f>
        <v>0</v>
      </c>
      <c r="K102" s="4"/>
      <c r="L102" s="20"/>
      <c r="N102" s="3" t="s">
        <v>322</v>
      </c>
    </row>
    <row r="103" spans="3:14" x14ac:dyDescent="0.25">
      <c r="C103" s="19"/>
      <c r="D103" s="4">
        <f t="shared" si="1"/>
        <v>15</v>
      </c>
      <c r="E103" s="4" t="s">
        <v>63</v>
      </c>
      <c r="F103" s="20">
        <f t="shared" si="0"/>
        <v>0</v>
      </c>
      <c r="G103" s="4"/>
      <c r="H103" s="5"/>
      <c r="I103" s="4"/>
      <c r="J103" s="4">
        <f>SUM(J95:J102)</f>
        <v>1</v>
      </c>
      <c r="K103" s="4"/>
      <c r="L103" s="20"/>
    </row>
    <row r="104" spans="3:14" x14ac:dyDescent="0.25">
      <c r="C104" s="19"/>
      <c r="D104" s="4">
        <f t="shared" si="1"/>
        <v>16</v>
      </c>
      <c r="E104" s="4" t="s">
        <v>64</v>
      </c>
      <c r="F104" s="20">
        <f t="shared" si="0"/>
        <v>0</v>
      </c>
      <c r="G104" s="4"/>
      <c r="H104" s="4"/>
      <c r="I104" s="4"/>
      <c r="J104" s="4"/>
      <c r="K104" s="4"/>
      <c r="L104" s="20"/>
      <c r="N104" s="3" t="s">
        <v>330</v>
      </c>
    </row>
    <row r="105" spans="3:14" x14ac:dyDescent="0.25">
      <c r="C105" s="19"/>
      <c r="D105" s="4">
        <f t="shared" si="1"/>
        <v>17</v>
      </c>
      <c r="E105" s="4" t="s">
        <v>65</v>
      </c>
      <c r="F105" s="20">
        <f t="shared" si="0"/>
        <v>0</v>
      </c>
      <c r="G105" s="4"/>
      <c r="H105" s="5" t="s">
        <v>27</v>
      </c>
      <c r="I105" s="4" t="s">
        <v>4</v>
      </c>
      <c r="J105" s="4">
        <f>IF($R$16="DIV_2", 2, 0)</f>
        <v>2</v>
      </c>
      <c r="K105" s="4"/>
      <c r="L105" s="20"/>
      <c r="N105" s="3" t="s">
        <v>340</v>
      </c>
    </row>
    <row r="106" spans="3:14" x14ac:dyDescent="0.25">
      <c r="C106" s="19"/>
      <c r="D106" s="4">
        <f t="shared" si="1"/>
        <v>18</v>
      </c>
      <c r="E106" s="4" t="s">
        <v>66</v>
      </c>
      <c r="F106" s="20">
        <f t="shared" si="0"/>
        <v>0</v>
      </c>
      <c r="G106" s="4"/>
      <c r="H106" s="4"/>
      <c r="I106" s="4" t="s">
        <v>34</v>
      </c>
      <c r="J106" s="4">
        <f>IF($R$16="DIV_4", 4, 0)</f>
        <v>0</v>
      </c>
      <c r="K106" s="4"/>
      <c r="L106" s="20"/>
      <c r="N106" s="3" t="s">
        <v>341</v>
      </c>
    </row>
    <row r="107" spans="3:14" x14ac:dyDescent="0.25">
      <c r="C107" s="19"/>
      <c r="D107" s="4">
        <f t="shared" si="1"/>
        <v>19</v>
      </c>
      <c r="E107" s="4" t="s">
        <v>67</v>
      </c>
      <c r="F107" s="20">
        <f t="shared" si="0"/>
        <v>0</v>
      </c>
      <c r="G107" s="4"/>
      <c r="H107" s="4"/>
      <c r="I107" s="4" t="s">
        <v>1</v>
      </c>
      <c r="J107" s="4">
        <f>IF($R$16="DIV_8", 8, 0)</f>
        <v>0</v>
      </c>
      <c r="K107" s="4"/>
      <c r="L107" s="20"/>
      <c r="N107" s="3" t="s">
        <v>342</v>
      </c>
    </row>
    <row r="108" spans="3:14" x14ac:dyDescent="0.25">
      <c r="C108" s="19"/>
      <c r="D108" s="4">
        <f t="shared" si="1"/>
        <v>20</v>
      </c>
      <c r="E108" s="4" t="s">
        <v>68</v>
      </c>
      <c r="F108" s="20">
        <f t="shared" si="0"/>
        <v>0</v>
      </c>
      <c r="G108" s="4"/>
      <c r="H108" s="4"/>
      <c r="I108" s="4" t="s">
        <v>40</v>
      </c>
      <c r="J108" s="4">
        <f>IF($R$16="DIV_16", 16, 0)</f>
        <v>0</v>
      </c>
      <c r="K108" s="4"/>
      <c r="L108" s="20"/>
      <c r="N108" s="3" t="s">
        <v>360</v>
      </c>
    </row>
    <row r="109" spans="3:14" x14ac:dyDescent="0.25">
      <c r="C109" s="19"/>
      <c r="D109" s="4">
        <f t="shared" si="1"/>
        <v>21</v>
      </c>
      <c r="E109" s="4" t="s">
        <v>69</v>
      </c>
      <c r="F109" s="20">
        <f t="shared" si="0"/>
        <v>0</v>
      </c>
      <c r="G109" s="4"/>
      <c r="H109" s="4"/>
      <c r="I109" s="4" t="s">
        <v>19</v>
      </c>
      <c r="J109" s="4">
        <f>IF($R$16="DIV_32", 32, 0)</f>
        <v>0</v>
      </c>
      <c r="K109" s="4"/>
      <c r="L109" s="20"/>
      <c r="N109" s="3" t="s">
        <v>362</v>
      </c>
    </row>
    <row r="110" spans="3:14" x14ac:dyDescent="0.25">
      <c r="C110" s="19"/>
      <c r="D110" s="4">
        <f t="shared" si="1"/>
        <v>22</v>
      </c>
      <c r="E110" s="4" t="s">
        <v>70</v>
      </c>
      <c r="F110" s="20">
        <f t="shared" si="0"/>
        <v>0</v>
      </c>
      <c r="G110" s="4"/>
      <c r="H110" s="4"/>
      <c r="I110" s="4"/>
      <c r="J110" s="4">
        <f>SUM(J105:J109)</f>
        <v>2</v>
      </c>
      <c r="K110" s="4"/>
      <c r="L110" s="20"/>
      <c r="N110" s="3" t="s">
        <v>363</v>
      </c>
    </row>
    <row r="111" spans="3:14" x14ac:dyDescent="0.25">
      <c r="C111" s="19"/>
      <c r="D111" s="4">
        <f t="shared" si="1"/>
        <v>23</v>
      </c>
      <c r="E111" s="4" t="s">
        <v>71</v>
      </c>
      <c r="F111" s="20">
        <f t="shared" si="0"/>
        <v>0</v>
      </c>
      <c r="G111" s="4"/>
      <c r="H111" s="4"/>
      <c r="I111" s="4"/>
      <c r="J111" s="4"/>
      <c r="K111" s="4"/>
      <c r="L111" s="20"/>
    </row>
    <row r="112" spans="3:14" x14ac:dyDescent="0.25">
      <c r="C112" s="19"/>
      <c r="D112" s="4">
        <f t="shared" si="1"/>
        <v>24</v>
      </c>
      <c r="E112" s="4" t="s">
        <v>72</v>
      </c>
      <c r="F112" s="20">
        <f t="shared" si="0"/>
        <v>0</v>
      </c>
      <c r="G112" s="4"/>
      <c r="H112" s="5" t="s">
        <v>41</v>
      </c>
      <c r="I112" s="4" t="s">
        <v>6</v>
      </c>
      <c r="J112" s="4">
        <f>$M$40</f>
        <v>4</v>
      </c>
      <c r="K112" s="4">
        <f>IF($O$54=I112, J112, 0)</f>
        <v>0</v>
      </c>
      <c r="L112" s="20"/>
    </row>
    <row r="113" spans="3:23" ht="14.4" thickBot="1" x14ac:dyDescent="0.3">
      <c r="C113" s="19"/>
      <c r="D113" s="4">
        <f t="shared" si="1"/>
        <v>25</v>
      </c>
      <c r="E113" s="4" t="s">
        <v>73</v>
      </c>
      <c r="F113" s="20">
        <f t="shared" si="0"/>
        <v>0</v>
      </c>
      <c r="G113" s="4"/>
      <c r="H113" s="4"/>
      <c r="I113" s="4" t="s">
        <v>28</v>
      </c>
      <c r="J113" s="4">
        <f>$M$42</f>
        <v>200</v>
      </c>
      <c r="K113" s="4">
        <f t="shared" ref="K113:K117" si="2">IF($O$54=I113, J113, 0)</f>
        <v>200</v>
      </c>
      <c r="L113" s="20"/>
    </row>
    <row r="114" spans="3:23" x14ac:dyDescent="0.25">
      <c r="C114" s="19"/>
      <c r="D114" s="4">
        <f t="shared" si="1"/>
        <v>26</v>
      </c>
      <c r="E114" s="4" t="s">
        <v>74</v>
      </c>
      <c r="F114" s="20">
        <f t="shared" si="0"/>
        <v>0</v>
      </c>
      <c r="G114" s="4"/>
      <c r="H114" s="4"/>
      <c r="I114" s="4" t="s">
        <v>21</v>
      </c>
      <c r="J114" s="4">
        <f>$M$44</f>
        <v>12</v>
      </c>
      <c r="K114" s="4">
        <f t="shared" si="2"/>
        <v>0</v>
      </c>
      <c r="L114" s="20"/>
      <c r="N114" s="16"/>
      <c r="O114" s="17" t="s">
        <v>264</v>
      </c>
      <c r="P114" s="17"/>
      <c r="Q114" s="17"/>
      <c r="R114" s="17"/>
      <c r="S114" s="17"/>
      <c r="T114" s="17"/>
      <c r="U114" s="17"/>
      <c r="V114" s="17"/>
      <c r="W114" s="18"/>
    </row>
    <row r="115" spans="3:23" x14ac:dyDescent="0.25">
      <c r="C115" s="19"/>
      <c r="D115" s="4">
        <f t="shared" si="1"/>
        <v>27</v>
      </c>
      <c r="E115" s="4" t="s">
        <v>75</v>
      </c>
      <c r="F115" s="20">
        <f t="shared" si="0"/>
        <v>0</v>
      </c>
      <c r="G115" s="4"/>
      <c r="H115" s="4"/>
      <c r="I115" s="4" t="s">
        <v>195</v>
      </c>
      <c r="J115" s="4">
        <f>$M$46</f>
        <v>8</v>
      </c>
      <c r="K115" s="4">
        <f t="shared" si="2"/>
        <v>0</v>
      </c>
      <c r="L115" s="20"/>
      <c r="N115" s="19"/>
      <c r="O115" s="4"/>
      <c r="P115" s="4"/>
      <c r="Q115" s="4"/>
      <c r="R115" s="4"/>
      <c r="S115" s="4"/>
      <c r="T115" s="4"/>
      <c r="U115" s="4"/>
      <c r="V115" s="4"/>
      <c r="W115" s="20"/>
    </row>
    <row r="116" spans="3:23" ht="14.4" thickBot="1" x14ac:dyDescent="0.3">
      <c r="C116" s="19"/>
      <c r="D116" s="4">
        <f t="shared" si="1"/>
        <v>28</v>
      </c>
      <c r="E116" s="4" t="s">
        <v>76</v>
      </c>
      <c r="F116" s="20">
        <f t="shared" si="0"/>
        <v>0</v>
      </c>
      <c r="G116" s="4"/>
      <c r="H116" s="4"/>
      <c r="I116" s="4" t="s">
        <v>43</v>
      </c>
      <c r="J116" s="4">
        <f>$M$48 * 0.001</f>
        <v>3.2000000000000001E-2</v>
      </c>
      <c r="K116" s="4">
        <f t="shared" si="2"/>
        <v>0</v>
      </c>
      <c r="L116" s="20"/>
      <c r="N116" s="19"/>
      <c r="O116" s="4"/>
      <c r="P116" s="4"/>
      <c r="Q116" s="4"/>
      <c r="R116" s="4"/>
      <c r="S116" s="4"/>
      <c r="T116" s="4"/>
      <c r="U116" s="4"/>
      <c r="V116" s="4"/>
      <c r="W116" s="20"/>
    </row>
    <row r="117" spans="3:23" x14ac:dyDescent="0.25">
      <c r="C117" s="19"/>
      <c r="D117" s="4">
        <f t="shared" si="1"/>
        <v>29</v>
      </c>
      <c r="E117" s="4" t="s">
        <v>77</v>
      </c>
      <c r="F117" s="20">
        <f t="shared" si="0"/>
        <v>0</v>
      </c>
      <c r="G117" s="4"/>
      <c r="H117" s="4"/>
      <c r="I117" s="4" t="s">
        <v>42</v>
      </c>
      <c r="J117" s="28">
        <f>$M$50 * 0.001</f>
        <v>3.2767999999999999E-2</v>
      </c>
      <c r="K117" s="4">
        <f t="shared" si="2"/>
        <v>0</v>
      </c>
      <c r="L117" s="20"/>
      <c r="N117" s="31" t="s">
        <v>265</v>
      </c>
      <c r="O117" s="17"/>
      <c r="P117" s="17"/>
      <c r="Q117" s="17"/>
      <c r="R117" s="17"/>
      <c r="S117" s="17"/>
      <c r="T117" s="17"/>
      <c r="U117" s="17"/>
      <c r="V117" s="17"/>
      <c r="W117" s="18"/>
    </row>
    <row r="118" spans="3:23" x14ac:dyDescent="0.25">
      <c r="C118" s="19"/>
      <c r="D118" s="4">
        <f t="shared" si="1"/>
        <v>30</v>
      </c>
      <c r="E118" s="4" t="s">
        <v>78</v>
      </c>
      <c r="F118" s="20">
        <f t="shared" si="0"/>
        <v>0</v>
      </c>
      <c r="G118" s="4"/>
      <c r="H118" s="4"/>
      <c r="I118" s="4"/>
      <c r="J118" s="4"/>
      <c r="K118" s="4">
        <f>SUM(K112:K117)</f>
        <v>200</v>
      </c>
      <c r="L118" s="20"/>
      <c r="N118" s="19">
        <v>1</v>
      </c>
      <c r="O118" s="4" t="s">
        <v>176</v>
      </c>
      <c r="P118" s="4"/>
      <c r="Q118" s="4"/>
      <c r="R118" s="4">
        <f t="shared" ref="R118:R125" si="3">IF($I$10=$O118, N118, 0)</f>
        <v>0</v>
      </c>
      <c r="S118" s="4"/>
      <c r="T118" s="4"/>
      <c r="U118" s="4"/>
      <c r="V118" s="4"/>
      <c r="W118" s="20"/>
    </row>
    <row r="119" spans="3:23" x14ac:dyDescent="0.25">
      <c r="C119" s="19"/>
      <c r="D119" s="4">
        <f t="shared" si="1"/>
        <v>31</v>
      </c>
      <c r="E119" s="4" t="s">
        <v>79</v>
      </c>
      <c r="F119" s="20">
        <f t="shared" si="0"/>
        <v>0</v>
      </c>
      <c r="G119" s="4"/>
      <c r="H119" s="4"/>
      <c r="I119" s="4"/>
      <c r="J119" s="4"/>
      <c r="K119" s="4"/>
      <c r="L119" s="20"/>
      <c r="N119" s="19">
        <v>2</v>
      </c>
      <c r="O119" s="4" t="s">
        <v>177</v>
      </c>
      <c r="P119" s="4"/>
      <c r="Q119" s="4"/>
      <c r="R119" s="4">
        <f t="shared" si="3"/>
        <v>2</v>
      </c>
      <c r="S119" s="4"/>
      <c r="T119" s="4"/>
      <c r="U119" s="4"/>
      <c r="V119" s="4"/>
      <c r="W119" s="20"/>
    </row>
    <row r="120" spans="3:23" x14ac:dyDescent="0.25">
      <c r="C120" s="19"/>
      <c r="D120" s="4">
        <f t="shared" si="1"/>
        <v>32</v>
      </c>
      <c r="E120" s="4" t="s">
        <v>80</v>
      </c>
      <c r="F120" s="20">
        <f t="shared" si="0"/>
        <v>0</v>
      </c>
      <c r="G120" s="4"/>
      <c r="H120" s="5" t="s">
        <v>49</v>
      </c>
      <c r="I120" s="4" t="s">
        <v>376</v>
      </c>
      <c r="J120" s="4"/>
      <c r="K120" s="4">
        <v>34</v>
      </c>
      <c r="L120" s="20">
        <v>64</v>
      </c>
      <c r="N120" s="19">
        <v>4</v>
      </c>
      <c r="O120" s="4" t="s">
        <v>178</v>
      </c>
      <c r="P120" s="4"/>
      <c r="Q120" s="4"/>
      <c r="R120" s="4">
        <f t="shared" si="3"/>
        <v>0</v>
      </c>
      <c r="S120" s="4"/>
      <c r="T120" s="4"/>
      <c r="U120" s="4"/>
      <c r="V120" s="4"/>
      <c r="W120" s="20"/>
    </row>
    <row r="121" spans="3:23" x14ac:dyDescent="0.25">
      <c r="C121" s="19"/>
      <c r="D121" s="4">
        <f t="shared" si="1"/>
        <v>33</v>
      </c>
      <c r="E121" s="4" t="s">
        <v>82</v>
      </c>
      <c r="F121" s="20">
        <f t="shared" si="0"/>
        <v>0</v>
      </c>
      <c r="G121" s="4"/>
      <c r="H121" s="4"/>
      <c r="I121" s="4" t="s">
        <v>377</v>
      </c>
      <c r="J121" s="4"/>
      <c r="K121" s="4">
        <v>21</v>
      </c>
      <c r="L121" s="20">
        <v>42</v>
      </c>
      <c r="N121" s="19">
        <v>8</v>
      </c>
      <c r="O121" s="4" t="s">
        <v>179</v>
      </c>
      <c r="P121" s="4"/>
      <c r="Q121" s="4"/>
      <c r="R121" s="4">
        <f t="shared" si="3"/>
        <v>0</v>
      </c>
      <c r="S121" s="4"/>
      <c r="T121" s="4"/>
      <c r="U121" s="4"/>
      <c r="V121" s="4"/>
      <c r="W121" s="20"/>
    </row>
    <row r="122" spans="3:23" x14ac:dyDescent="0.25">
      <c r="C122" s="19"/>
      <c r="D122" s="4">
        <f t="shared" si="1"/>
        <v>34</v>
      </c>
      <c r="E122" s="4" t="s">
        <v>81</v>
      </c>
      <c r="F122" s="20">
        <f t="shared" si="0"/>
        <v>0</v>
      </c>
      <c r="G122" s="4"/>
      <c r="H122" s="4"/>
      <c r="I122" s="4" t="s">
        <v>378</v>
      </c>
      <c r="J122" s="4"/>
      <c r="K122" s="4">
        <v>13</v>
      </c>
      <c r="L122" s="20">
        <v>26</v>
      </c>
      <c r="N122" s="19">
        <v>16</v>
      </c>
      <c r="O122" s="4" t="s">
        <v>180</v>
      </c>
      <c r="P122" s="4"/>
      <c r="Q122" s="4"/>
      <c r="R122" s="4">
        <f t="shared" si="3"/>
        <v>0</v>
      </c>
      <c r="S122" s="4"/>
      <c r="T122" s="4"/>
      <c r="U122" s="4"/>
      <c r="V122" s="4"/>
      <c r="W122" s="20"/>
    </row>
    <row r="123" spans="3:23" x14ac:dyDescent="0.25">
      <c r="C123" s="19"/>
      <c r="D123" s="4">
        <f t="shared" si="1"/>
        <v>35</v>
      </c>
      <c r="E123" s="4" t="s">
        <v>84</v>
      </c>
      <c r="F123" s="20">
        <f t="shared" si="0"/>
        <v>0</v>
      </c>
      <c r="G123" s="4"/>
      <c r="H123" s="4"/>
      <c r="I123" s="4" t="s">
        <v>20</v>
      </c>
      <c r="J123" s="4"/>
      <c r="K123" s="4">
        <v>8</v>
      </c>
      <c r="L123" s="20">
        <v>16</v>
      </c>
      <c r="N123" s="19">
        <v>32</v>
      </c>
      <c r="O123" s="4" t="s">
        <v>181</v>
      </c>
      <c r="P123" s="4"/>
      <c r="Q123" s="4"/>
      <c r="R123" s="4">
        <f t="shared" si="3"/>
        <v>0</v>
      </c>
      <c r="S123" s="4"/>
      <c r="T123" s="4"/>
      <c r="U123" s="4"/>
      <c r="V123" s="4"/>
      <c r="W123" s="20"/>
    </row>
    <row r="124" spans="3:23" x14ac:dyDescent="0.25">
      <c r="C124" s="19"/>
      <c r="D124" s="4">
        <f t="shared" si="1"/>
        <v>36</v>
      </c>
      <c r="E124" s="4" t="s">
        <v>85</v>
      </c>
      <c r="F124" s="20">
        <f t="shared" si="0"/>
        <v>0</v>
      </c>
      <c r="G124" s="4"/>
      <c r="H124" s="4"/>
      <c r="I124" s="4" t="s">
        <v>375</v>
      </c>
      <c r="J124" s="4"/>
      <c r="K124" s="4">
        <v>5</v>
      </c>
      <c r="L124" s="20">
        <v>10</v>
      </c>
      <c r="N124" s="19">
        <v>64</v>
      </c>
      <c r="O124" s="4" t="s">
        <v>182</v>
      </c>
      <c r="P124" s="4"/>
      <c r="Q124" s="4"/>
      <c r="R124" s="4">
        <f t="shared" si="3"/>
        <v>0</v>
      </c>
      <c r="S124" s="4"/>
      <c r="T124" s="4"/>
      <c r="U124" s="4"/>
      <c r="V124" s="4"/>
      <c r="W124" s="20"/>
    </row>
    <row r="125" spans="3:23" x14ac:dyDescent="0.25">
      <c r="C125" s="19"/>
      <c r="D125" s="4">
        <f t="shared" si="1"/>
        <v>37</v>
      </c>
      <c r="E125" s="4" t="s">
        <v>86</v>
      </c>
      <c r="F125" s="20">
        <f t="shared" si="0"/>
        <v>0</v>
      </c>
      <c r="G125" s="4"/>
      <c r="H125" s="4"/>
      <c r="I125" s="4" t="s">
        <v>50</v>
      </c>
      <c r="J125" s="4"/>
      <c r="K125" s="4"/>
      <c r="L125" s="20"/>
      <c r="N125" s="19">
        <v>256</v>
      </c>
      <c r="O125" s="4" t="s">
        <v>183</v>
      </c>
      <c r="P125" s="4"/>
      <c r="Q125" s="4"/>
      <c r="R125" s="4">
        <f t="shared" si="3"/>
        <v>0</v>
      </c>
      <c r="S125" s="4"/>
      <c r="T125" s="4"/>
      <c r="U125" s="4"/>
      <c r="V125" s="4"/>
      <c r="W125" s="20"/>
    </row>
    <row r="126" spans="3:23" x14ac:dyDescent="0.25">
      <c r="C126" s="19"/>
      <c r="D126" s="4">
        <f t="shared" si="1"/>
        <v>38</v>
      </c>
      <c r="E126" s="4" t="s">
        <v>87</v>
      </c>
      <c r="F126" s="20">
        <f t="shared" si="0"/>
        <v>0</v>
      </c>
      <c r="G126" s="4"/>
      <c r="H126" s="4"/>
      <c r="I126" s="4"/>
      <c r="J126" s="4"/>
      <c r="K126" s="4"/>
      <c r="L126" s="20"/>
      <c r="N126" s="19"/>
      <c r="O126" s="4"/>
      <c r="P126" s="4"/>
      <c r="Q126" s="4"/>
      <c r="R126" s="4">
        <f>SUM(R118:R125)</f>
        <v>2</v>
      </c>
      <c r="S126" s="4"/>
      <c r="T126" s="4"/>
      <c r="U126" s="4"/>
      <c r="V126" s="4"/>
      <c r="W126" s="20"/>
    </row>
    <row r="127" spans="3:23" x14ac:dyDescent="0.25">
      <c r="C127" s="19"/>
      <c r="D127" s="4">
        <f t="shared" si="1"/>
        <v>39</v>
      </c>
      <c r="E127" s="4" t="s">
        <v>83</v>
      </c>
      <c r="F127" s="20">
        <f t="shared" si="0"/>
        <v>0</v>
      </c>
      <c r="G127" s="4"/>
      <c r="H127" s="5" t="s">
        <v>187</v>
      </c>
      <c r="I127" s="4" t="s">
        <v>0</v>
      </c>
      <c r="J127" s="4"/>
      <c r="K127" s="4"/>
      <c r="L127" s="20"/>
      <c r="N127" s="19" t="s">
        <v>317</v>
      </c>
      <c r="O127" s="4"/>
      <c r="P127" s="4"/>
      <c r="Q127" s="4"/>
      <c r="R127" s="4"/>
      <c r="S127" s="4"/>
      <c r="T127" s="4"/>
      <c r="U127" s="4"/>
      <c r="V127" s="4"/>
      <c r="W127" s="20"/>
    </row>
    <row r="128" spans="3:23" x14ac:dyDescent="0.25">
      <c r="C128" s="19"/>
      <c r="D128" s="4">
        <f t="shared" si="1"/>
        <v>40</v>
      </c>
      <c r="E128" s="4" t="s">
        <v>88</v>
      </c>
      <c r="F128" s="20">
        <f t="shared" si="0"/>
        <v>0</v>
      </c>
      <c r="G128" s="4"/>
      <c r="H128" s="4"/>
      <c r="I128" s="4" t="s">
        <v>7</v>
      </c>
      <c r="J128" s="4"/>
      <c r="K128" s="4"/>
      <c r="L128" s="20"/>
      <c r="N128" s="19"/>
      <c r="O128" s="4">
        <v>1</v>
      </c>
      <c r="P128" s="4"/>
      <c r="Q128" s="4"/>
      <c r="R128" s="4"/>
      <c r="S128" s="4"/>
      <c r="T128" s="4"/>
      <c r="U128" s="4"/>
      <c r="V128" s="4"/>
      <c r="W128" s="20"/>
    </row>
    <row r="129" spans="3:23" x14ac:dyDescent="0.25">
      <c r="C129" s="19"/>
      <c r="D129" s="4">
        <f t="shared" si="1"/>
        <v>41</v>
      </c>
      <c r="E129" s="4" t="s">
        <v>89</v>
      </c>
      <c r="F129" s="20">
        <f t="shared" si="0"/>
        <v>0</v>
      </c>
      <c r="G129" s="4"/>
      <c r="H129" s="4"/>
      <c r="I129" s="4"/>
      <c r="J129" s="4"/>
      <c r="K129" s="4"/>
      <c r="L129" s="20"/>
      <c r="N129" s="19"/>
      <c r="O129" s="4">
        <v>2</v>
      </c>
      <c r="P129" s="4"/>
      <c r="Q129" s="4"/>
      <c r="R129" s="4"/>
      <c r="S129" s="4"/>
      <c r="T129" s="4"/>
      <c r="U129" s="4"/>
      <c r="V129" s="4"/>
      <c r="W129" s="20"/>
    </row>
    <row r="130" spans="3:23" x14ac:dyDescent="0.25">
      <c r="C130" s="19"/>
      <c r="D130" s="4">
        <f t="shared" si="1"/>
        <v>42</v>
      </c>
      <c r="E130" s="4" t="s">
        <v>90</v>
      </c>
      <c r="F130" s="20">
        <f t="shared" si="0"/>
        <v>0</v>
      </c>
      <c r="G130" s="4"/>
      <c r="H130" s="5" t="s">
        <v>186</v>
      </c>
      <c r="I130" s="4" t="s">
        <v>5</v>
      </c>
      <c r="J130" s="4"/>
      <c r="K130" s="4"/>
      <c r="L130" s="20"/>
      <c r="N130" s="19"/>
      <c r="O130" s="5" t="s">
        <v>306</v>
      </c>
      <c r="P130" s="4"/>
      <c r="Q130" s="4"/>
      <c r="R130" s="4"/>
      <c r="S130" s="4"/>
      <c r="T130" s="4"/>
      <c r="U130" s="4"/>
      <c r="V130" s="4"/>
      <c r="W130" s="20"/>
    </row>
    <row r="131" spans="3:23" x14ac:dyDescent="0.25">
      <c r="C131" s="19"/>
      <c r="D131" s="4">
        <f t="shared" si="1"/>
        <v>43</v>
      </c>
      <c r="E131" s="4" t="s">
        <v>91</v>
      </c>
      <c r="F131" s="20">
        <f t="shared" si="0"/>
        <v>0</v>
      </c>
      <c r="G131" s="4"/>
      <c r="H131" s="4"/>
      <c r="I131" s="4" t="s">
        <v>190</v>
      </c>
      <c r="J131" s="4"/>
      <c r="K131" s="4"/>
      <c r="L131" s="20"/>
      <c r="N131" s="19"/>
      <c r="O131" s="4">
        <v>64</v>
      </c>
      <c r="P131" s="4"/>
      <c r="Q131" s="4"/>
      <c r="R131" s="4"/>
      <c r="S131" s="4"/>
      <c r="T131" s="4"/>
      <c r="U131" s="4"/>
      <c r="V131" s="4"/>
      <c r="W131" s="20"/>
    </row>
    <row r="132" spans="3:23" x14ac:dyDescent="0.25">
      <c r="C132" s="19"/>
      <c r="D132" s="4">
        <f t="shared" si="1"/>
        <v>44</v>
      </c>
      <c r="E132" s="4" t="s">
        <v>92</v>
      </c>
      <c r="F132" s="20">
        <f t="shared" si="0"/>
        <v>0</v>
      </c>
      <c r="G132" s="4"/>
      <c r="H132" s="4"/>
      <c r="I132" s="4"/>
      <c r="J132" s="4"/>
      <c r="K132" s="4"/>
      <c r="L132" s="20"/>
      <c r="N132" s="19"/>
      <c r="O132" s="4"/>
      <c r="P132" s="4"/>
      <c r="Q132" s="4"/>
      <c r="R132" s="4"/>
      <c r="S132" s="4"/>
      <c r="T132" s="4"/>
      <c r="U132" s="4"/>
      <c r="V132" s="4"/>
      <c r="W132" s="20"/>
    </row>
    <row r="133" spans="3:23" x14ac:dyDescent="0.25">
      <c r="C133" s="19"/>
      <c r="D133" s="4">
        <f t="shared" si="1"/>
        <v>45</v>
      </c>
      <c r="E133" s="4" t="s">
        <v>93</v>
      </c>
      <c r="F133" s="20">
        <f t="shared" si="0"/>
        <v>0</v>
      </c>
      <c r="G133" s="4"/>
      <c r="H133" s="5" t="s">
        <v>193</v>
      </c>
      <c r="I133" s="4" t="s">
        <v>0</v>
      </c>
      <c r="J133" s="4"/>
      <c r="K133" s="4"/>
      <c r="L133" s="20"/>
      <c r="N133" s="19" t="s">
        <v>316</v>
      </c>
      <c r="O133" s="4"/>
      <c r="P133" s="4"/>
      <c r="Q133" s="4"/>
      <c r="R133" s="4"/>
      <c r="S133" s="4"/>
      <c r="T133" s="4"/>
      <c r="U133" s="4"/>
      <c r="V133" s="4"/>
      <c r="W133" s="20"/>
    </row>
    <row r="134" spans="3:23" x14ac:dyDescent="0.25">
      <c r="C134" s="19"/>
      <c r="D134" s="4">
        <f t="shared" si="1"/>
        <v>46</v>
      </c>
      <c r="E134" s="4" t="s">
        <v>94</v>
      </c>
      <c r="F134" s="20">
        <f t="shared" si="0"/>
        <v>0</v>
      </c>
      <c r="G134" s="4"/>
      <c r="H134" s="4"/>
      <c r="I134" s="4" t="s">
        <v>7</v>
      </c>
      <c r="J134" s="4"/>
      <c r="K134" s="4"/>
      <c r="L134" s="20"/>
      <c r="N134" s="19"/>
      <c r="O134" s="4">
        <v>1</v>
      </c>
      <c r="P134" s="4"/>
      <c r="Q134" s="4"/>
      <c r="R134" s="4"/>
      <c r="S134" s="4"/>
      <c r="T134" s="4"/>
      <c r="U134" s="4"/>
      <c r="V134" s="4"/>
      <c r="W134" s="20"/>
    </row>
    <row r="135" spans="3:23" x14ac:dyDescent="0.25">
      <c r="C135" s="19"/>
      <c r="D135" s="4">
        <f t="shared" si="1"/>
        <v>47</v>
      </c>
      <c r="E135" s="4" t="s">
        <v>95</v>
      </c>
      <c r="F135" s="20">
        <f t="shared" si="0"/>
        <v>0</v>
      </c>
      <c r="G135" s="4"/>
      <c r="H135" s="4"/>
      <c r="I135" s="4"/>
      <c r="J135" s="4"/>
      <c r="K135" s="4"/>
      <c r="L135" s="20"/>
      <c r="N135" s="19"/>
      <c r="O135" s="4">
        <v>2</v>
      </c>
      <c r="P135" s="4"/>
      <c r="Q135" s="4"/>
      <c r="R135" s="4"/>
      <c r="S135" s="4"/>
      <c r="T135" s="4"/>
      <c r="U135" s="4"/>
      <c r="V135" s="4"/>
      <c r="W135" s="20"/>
    </row>
    <row r="136" spans="3:23" x14ac:dyDescent="0.25">
      <c r="C136" s="19"/>
      <c r="D136" s="4">
        <f t="shared" si="1"/>
        <v>48</v>
      </c>
      <c r="E136" s="4" t="s">
        <v>96</v>
      </c>
      <c r="F136" s="20">
        <f t="shared" si="0"/>
        <v>0</v>
      </c>
      <c r="G136" s="4"/>
      <c r="H136" s="5" t="s">
        <v>194</v>
      </c>
      <c r="I136" s="4" t="s">
        <v>0</v>
      </c>
      <c r="J136" s="4"/>
      <c r="K136" s="4"/>
      <c r="L136" s="20"/>
      <c r="N136" s="19"/>
      <c r="O136" s="5" t="s">
        <v>306</v>
      </c>
      <c r="P136" s="4"/>
      <c r="Q136" s="4"/>
      <c r="R136" s="4"/>
      <c r="S136" s="4"/>
      <c r="T136" s="4"/>
      <c r="U136" s="4"/>
      <c r="V136" s="4"/>
      <c r="W136" s="20"/>
    </row>
    <row r="137" spans="3:23" x14ac:dyDescent="0.25">
      <c r="C137" s="19"/>
      <c r="D137" s="4">
        <f t="shared" si="1"/>
        <v>49</v>
      </c>
      <c r="E137" s="4" t="s">
        <v>97</v>
      </c>
      <c r="F137" s="20">
        <f t="shared" si="0"/>
        <v>0</v>
      </c>
      <c r="G137" s="4"/>
      <c r="H137" s="4"/>
      <c r="I137" s="4" t="s">
        <v>7</v>
      </c>
      <c r="J137" s="4"/>
      <c r="K137" s="4"/>
      <c r="L137" s="20"/>
      <c r="N137" s="19"/>
      <c r="O137" s="4">
        <v>128</v>
      </c>
      <c r="P137" s="4"/>
      <c r="Q137" s="4"/>
      <c r="R137" s="4"/>
      <c r="S137" s="4"/>
      <c r="T137" s="4"/>
      <c r="U137" s="4"/>
      <c r="V137" s="4"/>
      <c r="W137" s="20"/>
    </row>
    <row r="138" spans="3:23" x14ac:dyDescent="0.25">
      <c r="C138" s="19"/>
      <c r="D138" s="4">
        <f t="shared" si="1"/>
        <v>50</v>
      </c>
      <c r="E138" s="4" t="s">
        <v>98</v>
      </c>
      <c r="F138" s="20">
        <f t="shared" si="0"/>
        <v>50</v>
      </c>
      <c r="G138" s="4"/>
      <c r="H138" s="4"/>
      <c r="I138" s="4"/>
      <c r="J138" s="4"/>
      <c r="K138" s="4"/>
      <c r="L138" s="20"/>
      <c r="N138" s="19"/>
      <c r="O138" s="4"/>
      <c r="P138" s="4"/>
      <c r="Q138" s="4"/>
      <c r="R138" s="4"/>
      <c r="S138" s="4"/>
      <c r="T138" s="4"/>
      <c r="U138" s="4"/>
      <c r="V138" s="4"/>
      <c r="W138" s="20"/>
    </row>
    <row r="139" spans="3:23" x14ac:dyDescent="0.25">
      <c r="C139" s="19"/>
      <c r="D139" s="4">
        <f t="shared" si="1"/>
        <v>51</v>
      </c>
      <c r="E139" s="4" t="s">
        <v>99</v>
      </c>
      <c r="F139" s="20">
        <f t="shared" si="0"/>
        <v>0</v>
      </c>
      <c r="G139" s="4"/>
      <c r="H139" s="5"/>
      <c r="I139" s="4"/>
      <c r="L139" s="20"/>
      <c r="N139" s="19" t="s">
        <v>267</v>
      </c>
      <c r="O139" s="4"/>
      <c r="P139" s="4"/>
      <c r="Q139" s="4"/>
      <c r="R139" s="4"/>
      <c r="S139" s="4"/>
      <c r="T139" s="4"/>
      <c r="U139" s="4"/>
      <c r="V139" s="4"/>
      <c r="W139" s="20"/>
    </row>
    <row r="140" spans="3:23" x14ac:dyDescent="0.25">
      <c r="C140" s="19"/>
      <c r="D140" s="4">
        <f t="shared" si="1"/>
        <v>52</v>
      </c>
      <c r="E140" s="4" t="s">
        <v>100</v>
      </c>
      <c r="F140" s="20">
        <f t="shared" si="0"/>
        <v>0</v>
      </c>
      <c r="G140" s="4"/>
      <c r="H140" s="4"/>
      <c r="I140" s="4"/>
      <c r="L140" s="20"/>
      <c r="N140" s="19"/>
      <c r="O140" s="4" t="s">
        <v>278</v>
      </c>
      <c r="P140" s="4"/>
      <c r="Q140" s="4"/>
      <c r="R140" s="4"/>
      <c r="S140" s="4"/>
      <c r="T140" s="4"/>
      <c r="U140" s="4"/>
      <c r="V140" s="4"/>
      <c r="W140" s="20"/>
    </row>
    <row r="141" spans="3:23" x14ac:dyDescent="0.25">
      <c r="C141" s="19"/>
      <c r="D141" s="4">
        <f t="shared" si="1"/>
        <v>53</v>
      </c>
      <c r="E141" s="4" t="s">
        <v>101</v>
      </c>
      <c r="F141" s="20">
        <f t="shared" si="0"/>
        <v>0</v>
      </c>
      <c r="G141" s="4"/>
      <c r="H141" s="4"/>
      <c r="I141" s="4"/>
      <c r="L141" s="20"/>
      <c r="N141" s="19"/>
      <c r="O141" s="4" t="s">
        <v>279</v>
      </c>
      <c r="P141" s="4"/>
      <c r="Q141" s="4"/>
      <c r="R141" s="4"/>
      <c r="S141" s="4"/>
      <c r="T141" s="4"/>
      <c r="U141" s="4"/>
      <c r="V141" s="4"/>
      <c r="W141" s="20"/>
    </row>
    <row r="142" spans="3:23" x14ac:dyDescent="0.25">
      <c r="C142" s="19"/>
      <c r="D142" s="4">
        <f t="shared" si="1"/>
        <v>54</v>
      </c>
      <c r="E142" s="4" t="s">
        <v>102</v>
      </c>
      <c r="F142" s="20">
        <f t="shared" si="0"/>
        <v>0</v>
      </c>
      <c r="G142" s="4"/>
      <c r="H142" s="4"/>
      <c r="I142" s="4"/>
      <c r="L142" s="20"/>
      <c r="N142" s="19"/>
      <c r="O142" s="4" t="s">
        <v>280</v>
      </c>
      <c r="P142" s="4"/>
      <c r="Q142" s="4"/>
      <c r="R142" s="4"/>
      <c r="S142" s="4"/>
      <c r="T142" s="4"/>
      <c r="U142" s="4"/>
      <c r="V142" s="4"/>
      <c r="W142" s="20"/>
    </row>
    <row r="143" spans="3:23" x14ac:dyDescent="0.25">
      <c r="C143" s="19"/>
      <c r="D143" s="4">
        <f t="shared" si="1"/>
        <v>55</v>
      </c>
      <c r="E143" s="4" t="s">
        <v>103</v>
      </c>
      <c r="F143" s="20">
        <f t="shared" si="0"/>
        <v>0</v>
      </c>
      <c r="G143" s="4"/>
      <c r="H143" s="4"/>
      <c r="I143" s="4"/>
      <c r="L143" s="20"/>
      <c r="N143" s="19"/>
      <c r="O143" s="4" t="s">
        <v>281</v>
      </c>
      <c r="P143" s="4"/>
      <c r="Q143" s="4"/>
      <c r="R143" s="4"/>
      <c r="S143" s="4"/>
      <c r="T143" s="4"/>
      <c r="U143" s="4"/>
      <c r="V143" s="4"/>
      <c r="W143" s="20"/>
    </row>
    <row r="144" spans="3:23" x14ac:dyDescent="0.25">
      <c r="C144" s="19"/>
      <c r="D144" s="4">
        <f t="shared" si="1"/>
        <v>56</v>
      </c>
      <c r="E144" s="4" t="s">
        <v>104</v>
      </c>
      <c r="F144" s="20">
        <f t="shared" si="0"/>
        <v>0</v>
      </c>
      <c r="G144" s="4"/>
      <c r="H144" s="4"/>
      <c r="I144" s="4"/>
      <c r="L144" s="20"/>
      <c r="N144" s="19"/>
      <c r="O144" s="4" t="s">
        <v>282</v>
      </c>
      <c r="P144" s="4"/>
      <c r="Q144" s="4"/>
      <c r="R144" s="4"/>
      <c r="S144" s="4"/>
      <c r="T144" s="4"/>
      <c r="U144" s="4"/>
      <c r="V144" s="4"/>
      <c r="W144" s="20"/>
    </row>
    <row r="145" spans="3:23" x14ac:dyDescent="0.25">
      <c r="C145" s="19"/>
      <c r="D145" s="4">
        <f t="shared" si="1"/>
        <v>57</v>
      </c>
      <c r="E145" s="4" t="s">
        <v>105</v>
      </c>
      <c r="F145" s="20">
        <f t="shared" si="0"/>
        <v>0</v>
      </c>
      <c r="G145" s="4"/>
      <c r="H145" s="4"/>
      <c r="I145" s="4"/>
      <c r="L145" s="20"/>
      <c r="N145" s="19"/>
      <c r="O145" s="4" t="s">
        <v>283</v>
      </c>
      <c r="P145" s="4"/>
      <c r="Q145" s="4"/>
      <c r="R145" s="4"/>
      <c r="S145" s="4"/>
      <c r="T145" s="4"/>
      <c r="U145" s="4"/>
      <c r="V145" s="4"/>
      <c r="W145" s="20"/>
    </row>
    <row r="146" spans="3:23" x14ac:dyDescent="0.25">
      <c r="C146" s="19"/>
      <c r="D146" s="4">
        <f t="shared" si="1"/>
        <v>58</v>
      </c>
      <c r="E146" s="4" t="s">
        <v>106</v>
      </c>
      <c r="F146" s="20">
        <f t="shared" si="0"/>
        <v>0</v>
      </c>
      <c r="G146" s="4"/>
      <c r="H146" s="4"/>
      <c r="I146" s="4"/>
      <c r="L146" s="20"/>
      <c r="N146" s="19"/>
      <c r="O146" s="4" t="s">
        <v>284</v>
      </c>
      <c r="P146" s="4"/>
      <c r="Q146" s="4"/>
      <c r="R146" s="4"/>
      <c r="S146" s="4"/>
      <c r="T146" s="4"/>
      <c r="U146" s="4"/>
      <c r="V146" s="4"/>
      <c r="W146" s="20"/>
    </row>
    <row r="147" spans="3:23" x14ac:dyDescent="0.25">
      <c r="C147" s="19"/>
      <c r="D147" s="4">
        <f t="shared" si="1"/>
        <v>59</v>
      </c>
      <c r="E147" s="4" t="s">
        <v>107</v>
      </c>
      <c r="F147" s="20">
        <f t="shared" si="0"/>
        <v>0</v>
      </c>
      <c r="G147" s="4"/>
      <c r="H147" s="4"/>
      <c r="I147" s="4"/>
      <c r="L147" s="20"/>
      <c r="N147" s="19"/>
      <c r="O147" s="4" t="s">
        <v>266</v>
      </c>
      <c r="P147" s="4"/>
      <c r="Q147" s="4"/>
      <c r="R147" s="4"/>
      <c r="S147" s="4"/>
      <c r="T147" s="4"/>
      <c r="U147" s="4"/>
      <c r="V147" s="4"/>
      <c r="W147" s="20"/>
    </row>
    <row r="148" spans="3:23" x14ac:dyDescent="0.25">
      <c r="C148" s="19"/>
      <c r="D148" s="4">
        <f t="shared" si="1"/>
        <v>60</v>
      </c>
      <c r="E148" s="4" t="s">
        <v>108</v>
      </c>
      <c r="F148" s="20">
        <f t="shared" si="0"/>
        <v>0</v>
      </c>
      <c r="G148" s="4"/>
      <c r="H148" s="4"/>
      <c r="I148" s="4"/>
      <c r="L148" s="20"/>
      <c r="N148" s="19"/>
      <c r="O148" s="4"/>
      <c r="P148" s="4"/>
      <c r="Q148" s="4"/>
      <c r="R148" s="4"/>
      <c r="S148" s="4"/>
      <c r="T148" s="4"/>
      <c r="U148" s="4"/>
      <c r="V148" s="4"/>
      <c r="W148" s="20"/>
    </row>
    <row r="149" spans="3:23" x14ac:dyDescent="0.25">
      <c r="C149" s="19"/>
      <c r="D149" s="4">
        <f t="shared" si="1"/>
        <v>61</v>
      </c>
      <c r="E149" s="4" t="s">
        <v>109</v>
      </c>
      <c r="F149" s="20">
        <f t="shared" si="0"/>
        <v>0</v>
      </c>
      <c r="G149" s="4"/>
      <c r="H149" s="4"/>
      <c r="I149" s="4"/>
      <c r="J149" s="4"/>
      <c r="K149" s="4"/>
      <c r="L149" s="20"/>
      <c r="N149" s="19" t="s">
        <v>268</v>
      </c>
      <c r="O149" s="4"/>
      <c r="P149" s="4"/>
      <c r="Q149" s="4"/>
      <c r="R149" s="4"/>
      <c r="S149" s="4"/>
      <c r="T149" s="4"/>
      <c r="U149" s="4"/>
      <c r="V149" s="4"/>
      <c r="W149" s="20"/>
    </row>
    <row r="150" spans="3:23" x14ac:dyDescent="0.25">
      <c r="C150" s="19"/>
      <c r="D150" s="4">
        <f t="shared" si="1"/>
        <v>62</v>
      </c>
      <c r="E150" s="4" t="s">
        <v>110</v>
      </c>
      <c r="F150" s="20">
        <f t="shared" si="0"/>
        <v>0</v>
      </c>
      <c r="G150" s="4"/>
      <c r="H150" s="4"/>
      <c r="I150" s="4"/>
      <c r="J150" s="4"/>
      <c r="K150" s="4"/>
      <c r="L150" s="20"/>
      <c r="N150" s="19"/>
      <c r="O150" s="4" t="s">
        <v>269</v>
      </c>
      <c r="P150" s="4"/>
      <c r="Q150" s="4"/>
      <c r="R150" s="4"/>
      <c r="S150" s="4"/>
      <c r="T150" s="4"/>
      <c r="U150" s="4"/>
      <c r="V150" s="4"/>
      <c r="W150" s="20"/>
    </row>
    <row r="151" spans="3:23" x14ac:dyDescent="0.25">
      <c r="C151" s="19"/>
      <c r="D151" s="4">
        <f t="shared" si="1"/>
        <v>63</v>
      </c>
      <c r="E151" s="4" t="s">
        <v>111</v>
      </c>
      <c r="F151" s="20">
        <f t="shared" si="0"/>
        <v>0</v>
      </c>
      <c r="G151" s="4"/>
      <c r="H151" s="4"/>
      <c r="I151" s="4"/>
      <c r="J151" s="4"/>
      <c r="K151" s="4"/>
      <c r="L151" s="20"/>
      <c r="N151" s="19"/>
      <c r="O151" s="4" t="s">
        <v>270</v>
      </c>
      <c r="P151" s="4"/>
      <c r="Q151" s="4"/>
      <c r="R151" s="4"/>
      <c r="S151" s="4"/>
      <c r="T151" s="4"/>
      <c r="U151" s="4"/>
      <c r="V151" s="4"/>
      <c r="W151" s="20"/>
    </row>
    <row r="152" spans="3:23" x14ac:dyDescent="0.25">
      <c r="C152" s="19"/>
      <c r="D152" s="4">
        <f t="shared" si="1"/>
        <v>64</v>
      </c>
      <c r="E152" s="4" t="s">
        <v>112</v>
      </c>
      <c r="F152" s="20">
        <f t="shared" si="0"/>
        <v>0</v>
      </c>
      <c r="G152" s="4"/>
      <c r="H152" s="4"/>
      <c r="I152" s="4"/>
      <c r="J152" s="4"/>
      <c r="K152" s="4"/>
      <c r="L152" s="20"/>
      <c r="N152" s="19"/>
      <c r="O152" s="4" t="s">
        <v>271</v>
      </c>
      <c r="P152" s="4"/>
      <c r="Q152" s="4"/>
      <c r="R152" s="4"/>
      <c r="S152" s="4"/>
      <c r="T152" s="4"/>
      <c r="U152" s="4"/>
      <c r="V152" s="4"/>
      <c r="W152" s="20"/>
    </row>
    <row r="153" spans="3:23" x14ac:dyDescent="0.25">
      <c r="C153" s="19"/>
      <c r="D153" s="4">
        <f t="shared" si="1"/>
        <v>65</v>
      </c>
      <c r="E153" s="4" t="s">
        <v>113</v>
      </c>
      <c r="F153" s="20">
        <f t="shared" si="0"/>
        <v>0</v>
      </c>
      <c r="G153" s="4"/>
      <c r="H153" s="4"/>
      <c r="I153" s="4"/>
      <c r="J153" s="4"/>
      <c r="K153" s="4"/>
      <c r="L153" s="20"/>
      <c r="N153" s="19"/>
      <c r="O153" s="4" t="s">
        <v>272</v>
      </c>
      <c r="P153" s="4"/>
      <c r="Q153" s="4"/>
      <c r="R153" s="4"/>
      <c r="S153" s="4"/>
      <c r="T153" s="4"/>
      <c r="U153" s="4"/>
      <c r="V153" s="4"/>
      <c r="W153" s="20"/>
    </row>
    <row r="154" spans="3:23" x14ac:dyDescent="0.25">
      <c r="C154" s="19"/>
      <c r="D154" s="4">
        <f t="shared" si="1"/>
        <v>66</v>
      </c>
      <c r="E154" s="4" t="s">
        <v>114</v>
      </c>
      <c r="F154" s="20">
        <f t="shared" si="0"/>
        <v>0</v>
      </c>
      <c r="G154" s="4"/>
      <c r="H154" s="4"/>
      <c r="I154" s="4"/>
      <c r="J154" s="4"/>
      <c r="K154" s="4"/>
      <c r="L154" s="20"/>
      <c r="N154" s="19"/>
      <c r="O154" s="4" t="s">
        <v>273</v>
      </c>
      <c r="P154" s="4"/>
      <c r="Q154" s="4"/>
      <c r="R154" s="4"/>
      <c r="S154" s="4"/>
      <c r="T154" s="4"/>
      <c r="U154" s="4"/>
      <c r="V154" s="4"/>
      <c r="W154" s="20"/>
    </row>
    <row r="155" spans="3:23" x14ac:dyDescent="0.25">
      <c r="C155" s="19"/>
      <c r="D155" s="4">
        <f t="shared" si="1"/>
        <v>67</v>
      </c>
      <c r="E155" s="4" t="s">
        <v>115</v>
      </c>
      <c r="F155" s="20">
        <f t="shared" ref="F155:F216" si="4">IF($O$16=E155, D155, 0)</f>
        <v>0</v>
      </c>
      <c r="G155" s="4"/>
      <c r="H155" s="4"/>
      <c r="I155" s="4"/>
      <c r="J155" s="4"/>
      <c r="K155" s="4"/>
      <c r="L155" s="20"/>
      <c r="N155" s="19"/>
      <c r="O155" s="4" t="s">
        <v>274</v>
      </c>
      <c r="P155" s="4"/>
      <c r="Q155" s="4"/>
      <c r="R155" s="4"/>
      <c r="S155" s="4"/>
      <c r="T155" s="4"/>
      <c r="U155" s="4"/>
      <c r="V155" s="4"/>
      <c r="W155" s="20"/>
    </row>
    <row r="156" spans="3:23" x14ac:dyDescent="0.25">
      <c r="C156" s="19"/>
      <c r="D156" s="4">
        <f t="shared" si="1"/>
        <v>68</v>
      </c>
      <c r="E156" s="4" t="s">
        <v>116</v>
      </c>
      <c r="F156" s="20">
        <f t="shared" si="4"/>
        <v>0</v>
      </c>
      <c r="G156" s="4"/>
      <c r="H156" s="4"/>
      <c r="I156" s="4"/>
      <c r="J156" s="4"/>
      <c r="K156" s="4"/>
      <c r="L156" s="20"/>
      <c r="N156" s="19"/>
      <c r="O156" s="4" t="s">
        <v>275</v>
      </c>
      <c r="P156" s="4"/>
      <c r="Q156" s="4"/>
      <c r="R156" s="4"/>
      <c r="S156" s="4"/>
      <c r="T156" s="4"/>
      <c r="U156" s="4"/>
      <c r="V156" s="4"/>
      <c r="W156" s="20"/>
    </row>
    <row r="157" spans="3:23" x14ac:dyDescent="0.25">
      <c r="C157" s="19"/>
      <c r="D157" s="4">
        <f t="shared" ref="D157:D216" si="5">D156+1</f>
        <v>69</v>
      </c>
      <c r="E157" s="4" t="s">
        <v>117</v>
      </c>
      <c r="F157" s="20">
        <f t="shared" si="4"/>
        <v>0</v>
      </c>
      <c r="G157" s="4"/>
      <c r="H157" s="4"/>
      <c r="I157" s="4"/>
      <c r="J157" s="4"/>
      <c r="K157" s="4"/>
      <c r="L157" s="20"/>
      <c r="N157" s="19"/>
      <c r="O157" s="4"/>
      <c r="P157" s="4"/>
      <c r="Q157" s="4"/>
      <c r="R157" s="4"/>
      <c r="S157" s="4"/>
      <c r="T157" s="4"/>
      <c r="U157" s="4"/>
      <c r="V157" s="4"/>
      <c r="W157" s="20"/>
    </row>
    <row r="158" spans="3:23" x14ac:dyDescent="0.25">
      <c r="C158" s="19"/>
      <c r="D158" s="4">
        <f t="shared" si="5"/>
        <v>70</v>
      </c>
      <c r="E158" s="4" t="s">
        <v>118</v>
      </c>
      <c r="F158" s="20">
        <f t="shared" si="4"/>
        <v>0</v>
      </c>
      <c r="G158" s="4"/>
      <c r="H158" s="4"/>
      <c r="I158" s="4"/>
      <c r="J158" s="4"/>
      <c r="K158" s="4"/>
      <c r="L158" s="20"/>
      <c r="N158" s="19" t="s">
        <v>285</v>
      </c>
      <c r="O158" s="4"/>
      <c r="P158" s="4"/>
      <c r="Q158" s="4"/>
      <c r="R158" s="4"/>
      <c r="S158" s="4"/>
      <c r="T158" s="4"/>
      <c r="U158" s="4"/>
      <c r="V158" s="4"/>
      <c r="W158" s="20"/>
    </row>
    <row r="159" spans="3:23" x14ac:dyDescent="0.25">
      <c r="C159" s="19"/>
      <c r="D159" s="4">
        <f t="shared" si="5"/>
        <v>71</v>
      </c>
      <c r="E159" s="4" t="s">
        <v>119</v>
      </c>
      <c r="F159" s="20">
        <f t="shared" si="4"/>
        <v>0</v>
      </c>
      <c r="G159" s="4"/>
      <c r="H159" s="4"/>
      <c r="I159" s="4"/>
      <c r="J159" s="4"/>
      <c r="K159" s="4"/>
      <c r="L159" s="20"/>
      <c r="N159" s="19"/>
      <c r="O159" s="4" t="s">
        <v>277</v>
      </c>
      <c r="P159" s="4"/>
      <c r="Q159" s="4"/>
      <c r="R159" s="4"/>
      <c r="S159" s="4"/>
      <c r="T159" s="4"/>
      <c r="U159" s="4"/>
      <c r="V159" s="4"/>
      <c r="W159" s="20"/>
    </row>
    <row r="160" spans="3:23" x14ac:dyDescent="0.25">
      <c r="C160" s="19"/>
      <c r="D160" s="4">
        <f t="shared" si="5"/>
        <v>72</v>
      </c>
      <c r="E160" s="4" t="s">
        <v>120</v>
      </c>
      <c r="F160" s="20">
        <f t="shared" si="4"/>
        <v>0</v>
      </c>
      <c r="G160" s="4"/>
      <c r="H160" s="4"/>
      <c r="I160" s="4"/>
      <c r="J160" s="4"/>
      <c r="K160" s="4"/>
      <c r="L160" s="20"/>
      <c r="N160" s="19"/>
      <c r="O160" s="4" t="s">
        <v>276</v>
      </c>
      <c r="P160" s="4"/>
      <c r="Q160" s="4"/>
      <c r="R160" s="4"/>
      <c r="S160" s="4"/>
      <c r="T160" s="4"/>
      <c r="U160" s="4"/>
      <c r="V160" s="4"/>
      <c r="W160" s="20"/>
    </row>
    <row r="161" spans="3:23" x14ac:dyDescent="0.25">
      <c r="C161" s="19"/>
      <c r="D161" s="4">
        <f t="shared" si="5"/>
        <v>73</v>
      </c>
      <c r="E161" s="4" t="s">
        <v>121</v>
      </c>
      <c r="F161" s="20">
        <f t="shared" si="4"/>
        <v>0</v>
      </c>
      <c r="G161" s="4"/>
      <c r="H161" s="4"/>
      <c r="I161" s="4"/>
      <c r="J161" s="4"/>
      <c r="K161" s="4"/>
      <c r="L161" s="20"/>
      <c r="N161" s="19"/>
      <c r="O161" s="4"/>
      <c r="P161" s="4"/>
      <c r="Q161" s="4"/>
      <c r="R161" s="4"/>
      <c r="S161" s="4"/>
      <c r="T161" s="4"/>
      <c r="U161" s="4"/>
      <c r="V161" s="4"/>
      <c r="W161" s="20"/>
    </row>
    <row r="162" spans="3:23" x14ac:dyDescent="0.25">
      <c r="C162" s="19"/>
      <c r="D162" s="4">
        <f t="shared" si="5"/>
        <v>74</v>
      </c>
      <c r="E162" s="4" t="s">
        <v>122</v>
      </c>
      <c r="F162" s="20">
        <f t="shared" si="4"/>
        <v>0</v>
      </c>
      <c r="G162" s="4"/>
      <c r="H162" s="4"/>
      <c r="I162" s="4"/>
      <c r="J162" s="4"/>
      <c r="K162" s="4"/>
      <c r="L162" s="20"/>
      <c r="N162" s="19" t="s">
        <v>286</v>
      </c>
      <c r="O162" s="4"/>
      <c r="P162" s="4"/>
      <c r="Q162" s="4"/>
      <c r="R162" s="4"/>
      <c r="S162" s="4"/>
      <c r="T162" s="4"/>
      <c r="U162" s="4"/>
      <c r="V162" s="4"/>
      <c r="W162" s="20"/>
    </row>
    <row r="163" spans="3:23" x14ac:dyDescent="0.25">
      <c r="C163" s="19"/>
      <c r="D163" s="4">
        <f t="shared" si="5"/>
        <v>75</v>
      </c>
      <c r="E163" s="4" t="s">
        <v>123</v>
      </c>
      <c r="F163" s="20">
        <f t="shared" si="4"/>
        <v>0</v>
      </c>
      <c r="G163" s="4"/>
      <c r="H163" s="4"/>
      <c r="I163" s="4"/>
      <c r="J163" s="4"/>
      <c r="K163" s="4"/>
      <c r="L163" s="20"/>
      <c r="N163" s="19"/>
      <c r="O163" s="4" t="s">
        <v>287</v>
      </c>
      <c r="P163" s="4"/>
      <c r="Q163" s="4"/>
      <c r="R163" s="4"/>
      <c r="S163" s="4"/>
      <c r="T163" s="4"/>
      <c r="U163" s="4"/>
      <c r="V163" s="4"/>
      <c r="W163" s="20"/>
    </row>
    <row r="164" spans="3:23" x14ac:dyDescent="0.25">
      <c r="C164" s="19"/>
      <c r="D164" s="4">
        <f t="shared" si="5"/>
        <v>76</v>
      </c>
      <c r="E164" s="4" t="s">
        <v>124</v>
      </c>
      <c r="F164" s="20">
        <f t="shared" si="4"/>
        <v>0</v>
      </c>
      <c r="G164" s="4"/>
      <c r="H164" s="4"/>
      <c r="I164" s="4"/>
      <c r="J164" s="4"/>
      <c r="K164" s="4"/>
      <c r="L164" s="20"/>
      <c r="N164" s="19"/>
      <c r="O164" s="4" t="s">
        <v>289</v>
      </c>
      <c r="P164" s="4"/>
      <c r="Q164" s="4"/>
      <c r="R164" s="4"/>
      <c r="S164" s="4"/>
      <c r="T164" s="4"/>
      <c r="U164" s="4"/>
      <c r="V164" s="4"/>
      <c r="W164" s="20"/>
    </row>
    <row r="165" spans="3:23" x14ac:dyDescent="0.25">
      <c r="C165" s="19"/>
      <c r="D165" s="4">
        <f t="shared" si="5"/>
        <v>77</v>
      </c>
      <c r="E165" s="4" t="s">
        <v>125</v>
      </c>
      <c r="F165" s="20">
        <f t="shared" si="4"/>
        <v>0</v>
      </c>
      <c r="G165" s="4"/>
      <c r="H165" s="4"/>
      <c r="I165" s="4"/>
      <c r="J165" s="4"/>
      <c r="K165" s="4"/>
      <c r="L165" s="20"/>
      <c r="N165" s="19"/>
      <c r="O165" s="4" t="s">
        <v>290</v>
      </c>
      <c r="P165" s="4"/>
      <c r="Q165" s="4"/>
      <c r="R165" s="4"/>
      <c r="S165" s="4"/>
      <c r="T165" s="4"/>
      <c r="U165" s="4"/>
      <c r="V165" s="4"/>
      <c r="W165" s="20"/>
    </row>
    <row r="166" spans="3:23" x14ac:dyDescent="0.25">
      <c r="C166" s="19"/>
      <c r="D166" s="4">
        <f t="shared" si="5"/>
        <v>78</v>
      </c>
      <c r="E166" s="4" t="s">
        <v>126</v>
      </c>
      <c r="F166" s="20">
        <f t="shared" si="4"/>
        <v>0</v>
      </c>
      <c r="G166" s="4"/>
      <c r="H166" s="4"/>
      <c r="I166" s="4"/>
      <c r="J166" s="4"/>
      <c r="K166" s="4"/>
      <c r="L166" s="20"/>
      <c r="N166" s="19"/>
      <c r="O166" s="4" t="s">
        <v>291</v>
      </c>
      <c r="P166" s="4"/>
      <c r="Q166" s="4"/>
      <c r="R166" s="4"/>
      <c r="S166" s="4"/>
      <c r="T166" s="4"/>
      <c r="U166" s="4"/>
      <c r="V166" s="4"/>
      <c r="W166" s="20"/>
    </row>
    <row r="167" spans="3:23" x14ac:dyDescent="0.25">
      <c r="C167" s="19"/>
      <c r="D167" s="4">
        <f t="shared" si="5"/>
        <v>79</v>
      </c>
      <c r="E167" s="4" t="s">
        <v>127</v>
      </c>
      <c r="F167" s="20">
        <f t="shared" si="4"/>
        <v>0</v>
      </c>
      <c r="G167" s="4"/>
      <c r="H167" s="4"/>
      <c r="I167" s="4"/>
      <c r="J167" s="4"/>
      <c r="K167" s="4"/>
      <c r="L167" s="20"/>
      <c r="N167" s="19"/>
      <c r="O167" s="4" t="s">
        <v>292</v>
      </c>
      <c r="P167" s="4"/>
      <c r="Q167" s="4"/>
      <c r="R167" s="4"/>
      <c r="S167" s="4"/>
      <c r="T167" s="4"/>
      <c r="U167" s="4"/>
      <c r="V167" s="4"/>
      <c r="W167" s="20"/>
    </row>
    <row r="168" spans="3:23" x14ac:dyDescent="0.25">
      <c r="C168" s="19"/>
      <c r="D168" s="4">
        <f t="shared" si="5"/>
        <v>80</v>
      </c>
      <c r="E168" s="4" t="s">
        <v>128</v>
      </c>
      <c r="F168" s="20">
        <f t="shared" si="4"/>
        <v>0</v>
      </c>
      <c r="G168" s="4"/>
      <c r="H168" s="4"/>
      <c r="I168" s="4"/>
      <c r="J168" s="4"/>
      <c r="K168" s="4"/>
      <c r="L168" s="20"/>
      <c r="N168" s="19"/>
      <c r="O168" s="4" t="s">
        <v>288</v>
      </c>
      <c r="P168" s="4"/>
      <c r="Q168" s="4"/>
      <c r="R168" s="4"/>
      <c r="S168" s="4"/>
      <c r="T168" s="4"/>
      <c r="U168" s="4"/>
      <c r="V168" s="4"/>
      <c r="W168" s="20"/>
    </row>
    <row r="169" spans="3:23" x14ac:dyDescent="0.25">
      <c r="C169" s="19"/>
      <c r="D169" s="4">
        <f t="shared" si="5"/>
        <v>81</v>
      </c>
      <c r="E169" s="4" t="s">
        <v>129</v>
      </c>
      <c r="F169" s="20">
        <f t="shared" si="4"/>
        <v>0</v>
      </c>
      <c r="G169" s="4"/>
      <c r="H169" s="4"/>
      <c r="I169" s="4"/>
      <c r="J169" s="4"/>
      <c r="K169" s="4"/>
      <c r="L169" s="20"/>
      <c r="N169" s="19"/>
      <c r="O169" s="4"/>
      <c r="P169" s="4"/>
      <c r="Q169" s="4"/>
      <c r="R169" s="4"/>
      <c r="S169" s="4"/>
      <c r="T169" s="4"/>
      <c r="U169" s="4"/>
      <c r="V169" s="4"/>
      <c r="W169" s="20"/>
    </row>
    <row r="170" spans="3:23" x14ac:dyDescent="0.25">
      <c r="C170" s="19"/>
      <c r="D170" s="4">
        <f t="shared" si="5"/>
        <v>82</v>
      </c>
      <c r="E170" s="4" t="s">
        <v>130</v>
      </c>
      <c r="F170" s="20">
        <f t="shared" si="4"/>
        <v>0</v>
      </c>
      <c r="G170" s="4"/>
      <c r="H170" s="4"/>
      <c r="I170" s="4"/>
      <c r="J170" s="4"/>
      <c r="K170" s="4"/>
      <c r="L170" s="20"/>
      <c r="N170" s="19" t="s">
        <v>293</v>
      </c>
      <c r="O170" s="4"/>
      <c r="P170" s="4"/>
      <c r="Q170" s="4"/>
      <c r="R170" s="4"/>
      <c r="S170" s="4"/>
      <c r="T170" s="4"/>
      <c r="U170" s="4"/>
      <c r="V170" s="4"/>
      <c r="W170" s="20"/>
    </row>
    <row r="171" spans="3:23" x14ac:dyDescent="0.25">
      <c r="C171" s="19"/>
      <c r="D171" s="4">
        <f t="shared" si="5"/>
        <v>83</v>
      </c>
      <c r="E171" s="4" t="s">
        <v>131</v>
      </c>
      <c r="F171" s="20">
        <f t="shared" si="4"/>
        <v>0</v>
      </c>
      <c r="G171" s="4"/>
      <c r="H171" s="4"/>
      <c r="I171" s="4"/>
      <c r="J171" s="4"/>
      <c r="K171" s="4"/>
      <c r="L171" s="20"/>
      <c r="N171" s="19"/>
      <c r="O171" s="4" t="s">
        <v>295</v>
      </c>
      <c r="P171" s="4"/>
      <c r="Q171" s="4"/>
      <c r="R171" s="4"/>
      <c r="S171" s="4"/>
      <c r="T171" s="4"/>
      <c r="U171" s="4"/>
      <c r="V171" s="4"/>
      <c r="W171" s="20"/>
    </row>
    <row r="172" spans="3:23" x14ac:dyDescent="0.25">
      <c r="C172" s="19"/>
      <c r="D172" s="4">
        <f t="shared" si="5"/>
        <v>84</v>
      </c>
      <c r="E172" s="4" t="s">
        <v>132</v>
      </c>
      <c r="F172" s="20">
        <f t="shared" si="4"/>
        <v>0</v>
      </c>
      <c r="G172" s="4"/>
      <c r="H172" s="4"/>
      <c r="I172" s="4"/>
      <c r="J172" s="4"/>
      <c r="K172" s="4"/>
      <c r="L172" s="20"/>
      <c r="N172" s="19"/>
      <c r="O172" s="4" t="s">
        <v>294</v>
      </c>
      <c r="P172" s="4"/>
      <c r="Q172" s="4"/>
      <c r="R172" s="4"/>
      <c r="S172" s="4"/>
      <c r="T172" s="4"/>
      <c r="U172" s="4"/>
      <c r="V172" s="4"/>
      <c r="W172" s="20"/>
    </row>
    <row r="173" spans="3:23" x14ac:dyDescent="0.25">
      <c r="C173" s="19"/>
      <c r="D173" s="4">
        <f t="shared" si="5"/>
        <v>85</v>
      </c>
      <c r="E173" s="4" t="s">
        <v>133</v>
      </c>
      <c r="F173" s="20">
        <f t="shared" si="4"/>
        <v>0</v>
      </c>
      <c r="G173" s="4"/>
      <c r="H173" s="4"/>
      <c r="I173" s="4"/>
      <c r="J173" s="4"/>
      <c r="K173" s="4"/>
      <c r="L173" s="20"/>
      <c r="N173" s="19"/>
      <c r="O173" s="4"/>
      <c r="P173" s="4"/>
      <c r="Q173" s="4"/>
      <c r="R173" s="4"/>
      <c r="S173" s="4"/>
      <c r="T173" s="4"/>
      <c r="U173" s="4"/>
      <c r="V173" s="4"/>
      <c r="W173" s="20"/>
    </row>
    <row r="174" spans="3:23" x14ac:dyDescent="0.25">
      <c r="C174" s="19"/>
      <c r="D174" s="4">
        <f t="shared" si="5"/>
        <v>86</v>
      </c>
      <c r="E174" s="4" t="s">
        <v>134</v>
      </c>
      <c r="F174" s="20">
        <f t="shared" si="4"/>
        <v>0</v>
      </c>
      <c r="G174" s="4"/>
      <c r="H174" s="4"/>
      <c r="I174" s="4"/>
      <c r="J174" s="4"/>
      <c r="K174" s="4"/>
      <c r="L174" s="20"/>
      <c r="N174" s="19" t="s">
        <v>296</v>
      </c>
      <c r="O174" s="4"/>
      <c r="P174" s="4"/>
      <c r="Q174" s="4"/>
      <c r="R174" s="4"/>
      <c r="S174" s="4"/>
      <c r="T174" s="4"/>
      <c r="U174" s="4"/>
      <c r="V174" s="4"/>
      <c r="W174" s="20"/>
    </row>
    <row r="175" spans="3:23" x14ac:dyDescent="0.25">
      <c r="C175" s="19"/>
      <c r="D175" s="4">
        <f t="shared" si="5"/>
        <v>87</v>
      </c>
      <c r="E175" s="4" t="s">
        <v>135</v>
      </c>
      <c r="F175" s="20">
        <f t="shared" si="4"/>
        <v>0</v>
      </c>
      <c r="G175" s="4"/>
      <c r="H175" s="4"/>
      <c r="I175" s="4"/>
      <c r="J175" s="4"/>
      <c r="K175" s="4"/>
      <c r="L175" s="20"/>
      <c r="N175" s="19"/>
      <c r="O175" s="4" t="s">
        <v>298</v>
      </c>
      <c r="P175" s="4"/>
      <c r="Q175" s="4"/>
      <c r="R175" s="4"/>
      <c r="S175" s="4"/>
      <c r="T175" s="4"/>
      <c r="U175" s="4"/>
      <c r="V175" s="4"/>
      <c r="W175" s="20"/>
    </row>
    <row r="176" spans="3:23" x14ac:dyDescent="0.25">
      <c r="C176" s="19"/>
      <c r="D176" s="4">
        <f t="shared" si="5"/>
        <v>88</v>
      </c>
      <c r="E176" s="4" t="s">
        <v>136</v>
      </c>
      <c r="F176" s="20">
        <f t="shared" si="4"/>
        <v>0</v>
      </c>
      <c r="G176" s="4"/>
      <c r="H176" s="4"/>
      <c r="I176" s="4"/>
      <c r="J176" s="4"/>
      <c r="K176" s="4"/>
      <c r="L176" s="20"/>
      <c r="N176" s="19"/>
      <c r="O176" s="4" t="s">
        <v>299</v>
      </c>
      <c r="P176" s="4"/>
      <c r="Q176" s="4"/>
      <c r="R176" s="4"/>
      <c r="S176" s="4"/>
      <c r="T176" s="4"/>
      <c r="U176" s="4"/>
      <c r="V176" s="4"/>
      <c r="W176" s="20"/>
    </row>
    <row r="177" spans="3:23" x14ac:dyDescent="0.25">
      <c r="C177" s="19"/>
      <c r="D177" s="4">
        <f t="shared" si="5"/>
        <v>89</v>
      </c>
      <c r="E177" s="4" t="s">
        <v>137</v>
      </c>
      <c r="F177" s="20">
        <f t="shared" si="4"/>
        <v>0</v>
      </c>
      <c r="G177" s="4"/>
      <c r="H177" s="4"/>
      <c r="I177" s="4"/>
      <c r="J177" s="4"/>
      <c r="K177" s="4"/>
      <c r="L177" s="20"/>
      <c r="N177" s="19"/>
      <c r="O177" s="4" t="s">
        <v>300</v>
      </c>
      <c r="P177" s="4"/>
      <c r="Q177" s="4"/>
      <c r="R177" s="4"/>
      <c r="S177" s="4"/>
      <c r="T177" s="4"/>
      <c r="U177" s="4"/>
      <c r="V177" s="4"/>
      <c r="W177" s="20"/>
    </row>
    <row r="178" spans="3:23" x14ac:dyDescent="0.25">
      <c r="C178" s="19"/>
      <c r="D178" s="4">
        <f t="shared" si="5"/>
        <v>90</v>
      </c>
      <c r="E178" s="4" t="s">
        <v>138</v>
      </c>
      <c r="F178" s="20">
        <f t="shared" si="4"/>
        <v>0</v>
      </c>
      <c r="G178" s="4"/>
      <c r="H178" s="4"/>
      <c r="I178" s="4"/>
      <c r="J178" s="4"/>
      <c r="K178" s="4"/>
      <c r="L178" s="20"/>
      <c r="N178" s="19"/>
      <c r="O178" s="4" t="s">
        <v>301</v>
      </c>
      <c r="P178" s="4"/>
      <c r="Q178" s="4"/>
      <c r="R178" s="4"/>
      <c r="S178" s="4"/>
      <c r="T178" s="4"/>
      <c r="U178" s="4"/>
      <c r="V178" s="4"/>
      <c r="W178" s="20"/>
    </row>
    <row r="179" spans="3:23" x14ac:dyDescent="0.25">
      <c r="C179" s="19"/>
      <c r="D179" s="4">
        <f t="shared" si="5"/>
        <v>91</v>
      </c>
      <c r="E179" s="4" t="s">
        <v>139</v>
      </c>
      <c r="F179" s="20">
        <f t="shared" si="4"/>
        <v>0</v>
      </c>
      <c r="G179" s="4"/>
      <c r="H179" s="4"/>
      <c r="I179" s="4"/>
      <c r="J179" s="4"/>
      <c r="K179" s="4"/>
      <c r="L179" s="20"/>
      <c r="N179" s="19"/>
      <c r="O179" s="4" t="s">
        <v>302</v>
      </c>
      <c r="P179" s="4"/>
      <c r="Q179" s="4"/>
      <c r="R179" s="4"/>
      <c r="S179" s="4"/>
      <c r="T179" s="4"/>
      <c r="U179" s="4"/>
      <c r="V179" s="4"/>
      <c r="W179" s="20"/>
    </row>
    <row r="180" spans="3:23" x14ac:dyDescent="0.25">
      <c r="C180" s="19"/>
      <c r="D180" s="4">
        <f t="shared" si="5"/>
        <v>92</v>
      </c>
      <c r="E180" s="4" t="s">
        <v>140</v>
      </c>
      <c r="F180" s="20">
        <f t="shared" si="4"/>
        <v>0</v>
      </c>
      <c r="G180" s="4"/>
      <c r="H180" s="4"/>
      <c r="I180" s="4"/>
      <c r="J180" s="4"/>
      <c r="K180" s="4"/>
      <c r="L180" s="20"/>
      <c r="N180" s="19"/>
      <c r="O180" s="4" t="s">
        <v>303</v>
      </c>
      <c r="P180" s="4"/>
      <c r="Q180" s="4"/>
      <c r="R180" s="4"/>
      <c r="S180" s="4"/>
      <c r="T180" s="4"/>
      <c r="U180" s="4"/>
      <c r="V180" s="4"/>
      <c r="W180" s="20"/>
    </row>
    <row r="181" spans="3:23" x14ac:dyDescent="0.25">
      <c r="C181" s="19"/>
      <c r="D181" s="4">
        <f t="shared" si="5"/>
        <v>93</v>
      </c>
      <c r="E181" s="4" t="s">
        <v>141</v>
      </c>
      <c r="F181" s="20">
        <f t="shared" si="4"/>
        <v>0</v>
      </c>
      <c r="G181" s="4"/>
      <c r="H181" s="4"/>
      <c r="I181" s="4"/>
      <c r="J181" s="4"/>
      <c r="K181" s="4"/>
      <c r="L181" s="20"/>
      <c r="N181" s="19"/>
      <c r="O181" s="4" t="s">
        <v>304</v>
      </c>
      <c r="P181" s="4"/>
      <c r="Q181" s="4"/>
      <c r="R181" s="4"/>
      <c r="S181" s="4"/>
      <c r="T181" s="4"/>
      <c r="U181" s="4"/>
      <c r="V181" s="4"/>
      <c r="W181" s="20"/>
    </row>
    <row r="182" spans="3:23" x14ac:dyDescent="0.25">
      <c r="C182" s="19"/>
      <c r="D182" s="4">
        <f t="shared" si="5"/>
        <v>94</v>
      </c>
      <c r="E182" s="4" t="s">
        <v>142</v>
      </c>
      <c r="F182" s="20">
        <f t="shared" si="4"/>
        <v>0</v>
      </c>
      <c r="G182" s="4"/>
      <c r="H182" s="4"/>
      <c r="I182" s="4"/>
      <c r="J182" s="4"/>
      <c r="K182" s="4"/>
      <c r="L182" s="20"/>
      <c r="N182" s="19"/>
      <c r="O182" s="4" t="s">
        <v>297</v>
      </c>
      <c r="P182" s="4"/>
      <c r="Q182" s="4"/>
      <c r="R182" s="4"/>
      <c r="S182" s="4"/>
      <c r="T182" s="4"/>
      <c r="U182" s="4"/>
      <c r="V182" s="4"/>
      <c r="W182" s="20"/>
    </row>
    <row r="183" spans="3:23" x14ac:dyDescent="0.25">
      <c r="C183" s="19"/>
      <c r="D183" s="4">
        <f t="shared" si="5"/>
        <v>95</v>
      </c>
      <c r="E183" s="4" t="s">
        <v>143</v>
      </c>
      <c r="F183" s="20">
        <f t="shared" si="4"/>
        <v>0</v>
      </c>
      <c r="G183" s="4"/>
      <c r="H183" s="4"/>
      <c r="I183" s="4"/>
      <c r="J183" s="4"/>
      <c r="K183" s="4"/>
      <c r="L183" s="20"/>
      <c r="N183" s="19"/>
      <c r="O183" s="4"/>
      <c r="P183" s="4"/>
      <c r="Q183" s="4"/>
      <c r="R183" s="4"/>
      <c r="S183" s="4"/>
      <c r="T183" s="4"/>
      <c r="U183" s="4"/>
      <c r="V183" s="4"/>
      <c r="W183" s="20"/>
    </row>
    <row r="184" spans="3:23" x14ac:dyDescent="0.25">
      <c r="C184" s="19"/>
      <c r="D184" s="4">
        <f t="shared" si="5"/>
        <v>96</v>
      </c>
      <c r="E184" s="4" t="s">
        <v>144</v>
      </c>
      <c r="F184" s="20">
        <f t="shared" si="4"/>
        <v>0</v>
      </c>
      <c r="G184" s="4"/>
      <c r="H184" s="4"/>
      <c r="I184" s="4"/>
      <c r="J184" s="4"/>
      <c r="K184" s="4"/>
      <c r="L184" s="20"/>
      <c r="N184" s="19" t="s">
        <v>305</v>
      </c>
      <c r="O184" s="4"/>
      <c r="P184" s="4"/>
      <c r="Q184" s="4"/>
      <c r="R184" s="4"/>
      <c r="S184" s="4"/>
      <c r="T184" s="4"/>
      <c r="U184" s="4"/>
      <c r="V184" s="4"/>
      <c r="W184" s="20"/>
    </row>
    <row r="185" spans="3:23" x14ac:dyDescent="0.25">
      <c r="C185" s="19"/>
      <c r="D185" s="4">
        <f t="shared" si="5"/>
        <v>97</v>
      </c>
      <c r="E185" s="4" t="s">
        <v>145</v>
      </c>
      <c r="F185" s="20">
        <f t="shared" si="4"/>
        <v>0</v>
      </c>
      <c r="G185" s="4"/>
      <c r="H185" s="4"/>
      <c r="I185" s="4"/>
      <c r="J185" s="4"/>
      <c r="K185" s="4"/>
      <c r="L185" s="20"/>
      <c r="N185" s="19"/>
      <c r="O185" s="4">
        <v>1</v>
      </c>
      <c r="P185" s="4"/>
      <c r="Q185" s="4"/>
      <c r="R185" s="4"/>
      <c r="S185" s="4"/>
      <c r="T185" s="4"/>
      <c r="U185" s="4"/>
      <c r="V185" s="4"/>
      <c r="W185" s="20"/>
    </row>
    <row r="186" spans="3:23" x14ac:dyDescent="0.25">
      <c r="C186" s="19"/>
      <c r="D186" s="4">
        <f t="shared" si="5"/>
        <v>98</v>
      </c>
      <c r="E186" s="4" t="s">
        <v>146</v>
      </c>
      <c r="F186" s="20">
        <f t="shared" si="4"/>
        <v>0</v>
      </c>
      <c r="G186" s="4"/>
      <c r="H186" s="4"/>
      <c r="I186" s="4"/>
      <c r="J186" s="4"/>
      <c r="K186" s="4"/>
      <c r="L186" s="20"/>
      <c r="N186" s="19"/>
      <c r="O186" s="4">
        <v>2</v>
      </c>
      <c r="P186" s="4"/>
      <c r="Q186" s="4"/>
      <c r="R186" s="4"/>
      <c r="S186" s="4"/>
      <c r="T186" s="4"/>
      <c r="U186" s="4"/>
      <c r="V186" s="4"/>
      <c r="W186" s="20"/>
    </row>
    <row r="187" spans="3:23" x14ac:dyDescent="0.25">
      <c r="C187" s="19"/>
      <c r="D187" s="4">
        <f t="shared" si="5"/>
        <v>99</v>
      </c>
      <c r="E187" s="4" t="s">
        <v>147</v>
      </c>
      <c r="F187" s="20">
        <f t="shared" si="4"/>
        <v>0</v>
      </c>
      <c r="G187" s="4"/>
      <c r="H187" s="4"/>
      <c r="I187" s="4"/>
      <c r="J187" s="4"/>
      <c r="K187" s="4"/>
      <c r="L187" s="20"/>
      <c r="N187" s="19"/>
      <c r="O187" s="5" t="s">
        <v>306</v>
      </c>
      <c r="P187" s="4"/>
      <c r="Q187" s="4"/>
      <c r="R187" s="4"/>
      <c r="S187" s="4"/>
      <c r="T187" s="4"/>
      <c r="U187" s="4"/>
      <c r="V187" s="4"/>
      <c r="W187" s="20"/>
    </row>
    <row r="188" spans="3:23" x14ac:dyDescent="0.25">
      <c r="C188" s="19"/>
      <c r="D188" s="4">
        <f t="shared" si="5"/>
        <v>100</v>
      </c>
      <c r="E188" s="4" t="s">
        <v>148</v>
      </c>
      <c r="F188" s="20">
        <f t="shared" si="4"/>
        <v>0</v>
      </c>
      <c r="G188" s="4"/>
      <c r="H188" s="4"/>
      <c r="I188" s="4"/>
      <c r="J188" s="4"/>
      <c r="K188" s="4"/>
      <c r="L188" s="20"/>
      <c r="N188" s="19"/>
      <c r="O188" s="4">
        <v>128</v>
      </c>
      <c r="P188" s="4"/>
      <c r="Q188" s="4"/>
      <c r="R188" s="4"/>
      <c r="S188" s="4"/>
      <c r="T188" s="4"/>
      <c r="U188" s="4"/>
      <c r="V188" s="4"/>
      <c r="W188" s="20"/>
    </row>
    <row r="189" spans="3:23" x14ac:dyDescent="0.25">
      <c r="C189" s="19"/>
      <c r="D189" s="4">
        <f t="shared" si="5"/>
        <v>101</v>
      </c>
      <c r="E189" s="4" t="s">
        <v>149</v>
      </c>
      <c r="F189" s="20">
        <f t="shared" si="4"/>
        <v>0</v>
      </c>
      <c r="G189" s="4"/>
      <c r="H189" s="4"/>
      <c r="I189" s="4"/>
      <c r="J189" s="4"/>
      <c r="K189" s="4"/>
      <c r="L189" s="20"/>
      <c r="N189" s="19"/>
      <c r="O189" s="4"/>
      <c r="P189" s="4"/>
      <c r="Q189" s="4"/>
      <c r="R189" s="4"/>
      <c r="S189" s="4"/>
      <c r="T189" s="4"/>
      <c r="U189" s="4"/>
      <c r="V189" s="4"/>
      <c r="W189" s="20"/>
    </row>
    <row r="190" spans="3:23" x14ac:dyDescent="0.25">
      <c r="C190" s="19"/>
      <c r="D190" s="4">
        <f t="shared" si="5"/>
        <v>102</v>
      </c>
      <c r="E190" s="4" t="s">
        <v>150</v>
      </c>
      <c r="F190" s="20">
        <f t="shared" si="4"/>
        <v>0</v>
      </c>
      <c r="G190" s="4"/>
      <c r="H190" s="4"/>
      <c r="I190" s="4"/>
      <c r="J190" s="4"/>
      <c r="K190" s="4"/>
      <c r="L190" s="20"/>
      <c r="N190" s="19" t="s">
        <v>308</v>
      </c>
      <c r="O190" s="4"/>
      <c r="P190" s="4"/>
      <c r="Q190" s="4"/>
      <c r="R190" s="4"/>
      <c r="S190" s="4"/>
      <c r="T190" s="4"/>
      <c r="U190" s="4"/>
      <c r="V190" s="4"/>
      <c r="W190" s="20"/>
    </row>
    <row r="191" spans="3:23" x14ac:dyDescent="0.25">
      <c r="C191" s="19"/>
      <c r="D191" s="4">
        <f t="shared" si="5"/>
        <v>103</v>
      </c>
      <c r="E191" s="4" t="s">
        <v>151</v>
      </c>
      <c r="F191" s="20">
        <f t="shared" si="4"/>
        <v>0</v>
      </c>
      <c r="G191" s="4"/>
      <c r="H191" s="4"/>
      <c r="I191" s="4"/>
      <c r="J191" s="4"/>
      <c r="K191" s="4"/>
      <c r="L191" s="20"/>
      <c r="N191" s="19"/>
      <c r="O191" s="4" t="s">
        <v>309</v>
      </c>
      <c r="P191" s="4"/>
      <c r="Q191" s="4"/>
      <c r="R191" s="4"/>
      <c r="S191" s="4"/>
      <c r="T191" s="4"/>
      <c r="U191" s="4"/>
      <c r="V191" s="4"/>
      <c r="W191" s="20"/>
    </row>
    <row r="192" spans="3:23" x14ac:dyDescent="0.25">
      <c r="C192" s="19"/>
      <c r="D192" s="4">
        <f t="shared" si="5"/>
        <v>104</v>
      </c>
      <c r="E192" s="4" t="s">
        <v>152</v>
      </c>
      <c r="F192" s="20">
        <f t="shared" si="4"/>
        <v>0</v>
      </c>
      <c r="G192" s="4"/>
      <c r="H192" s="4"/>
      <c r="I192" s="4"/>
      <c r="J192" s="4"/>
      <c r="K192" s="4"/>
      <c r="L192" s="20"/>
      <c r="N192" s="19"/>
      <c r="O192" s="4" t="s">
        <v>310</v>
      </c>
      <c r="P192" s="4"/>
      <c r="Q192" s="4"/>
      <c r="R192" s="4"/>
      <c r="S192" s="4"/>
      <c r="T192" s="4"/>
      <c r="U192" s="4"/>
      <c r="V192" s="4"/>
      <c r="W192" s="20"/>
    </row>
    <row r="193" spans="3:23" x14ac:dyDescent="0.25">
      <c r="C193" s="19"/>
      <c r="D193" s="4">
        <f t="shared" si="5"/>
        <v>105</v>
      </c>
      <c r="E193" s="4" t="s">
        <v>153</v>
      </c>
      <c r="F193" s="20">
        <f t="shared" si="4"/>
        <v>0</v>
      </c>
      <c r="G193" s="4"/>
      <c r="H193" s="4"/>
      <c r="I193" s="4"/>
      <c r="J193" s="4"/>
      <c r="K193" s="4"/>
      <c r="L193" s="20"/>
      <c r="N193" s="19"/>
      <c r="O193" s="4" t="s">
        <v>311</v>
      </c>
      <c r="P193" s="4"/>
      <c r="Q193" s="4"/>
      <c r="R193" s="4"/>
      <c r="S193" s="4"/>
      <c r="T193" s="4"/>
      <c r="U193" s="4"/>
      <c r="V193" s="4"/>
      <c r="W193" s="20"/>
    </row>
    <row r="194" spans="3:23" x14ac:dyDescent="0.25">
      <c r="C194" s="19"/>
      <c r="D194" s="4">
        <f t="shared" si="5"/>
        <v>106</v>
      </c>
      <c r="E194" s="4" t="s">
        <v>154</v>
      </c>
      <c r="F194" s="20">
        <f t="shared" si="4"/>
        <v>0</v>
      </c>
      <c r="G194" s="4"/>
      <c r="H194" s="4"/>
      <c r="I194" s="4"/>
      <c r="J194" s="4"/>
      <c r="K194" s="4"/>
      <c r="L194" s="20"/>
      <c r="N194" s="19"/>
      <c r="O194" s="4" t="s">
        <v>312</v>
      </c>
      <c r="P194" s="4"/>
      <c r="Q194" s="4"/>
      <c r="R194" s="4"/>
      <c r="S194" s="4"/>
      <c r="T194" s="4"/>
      <c r="U194" s="4"/>
      <c r="V194" s="4"/>
      <c r="W194" s="20"/>
    </row>
    <row r="195" spans="3:23" x14ac:dyDescent="0.25">
      <c r="C195" s="19"/>
      <c r="D195" s="4">
        <f t="shared" si="5"/>
        <v>107</v>
      </c>
      <c r="E195" s="4" t="s">
        <v>155</v>
      </c>
      <c r="F195" s="20">
        <f t="shared" si="4"/>
        <v>0</v>
      </c>
      <c r="G195" s="4"/>
      <c r="H195" s="4"/>
      <c r="I195" s="4"/>
      <c r="J195" s="4"/>
      <c r="K195" s="4"/>
      <c r="L195" s="20"/>
      <c r="N195" s="19"/>
      <c r="O195" s="4" t="s">
        <v>313</v>
      </c>
      <c r="P195" s="4"/>
      <c r="Q195" s="4"/>
      <c r="R195" s="4"/>
      <c r="S195" s="4"/>
      <c r="T195" s="4"/>
      <c r="U195" s="4"/>
      <c r="V195" s="4"/>
      <c r="W195" s="20"/>
    </row>
    <row r="196" spans="3:23" x14ac:dyDescent="0.25">
      <c r="C196" s="19"/>
      <c r="D196" s="4">
        <f t="shared" si="5"/>
        <v>108</v>
      </c>
      <c r="E196" s="4" t="s">
        <v>156</v>
      </c>
      <c r="F196" s="20">
        <f t="shared" si="4"/>
        <v>0</v>
      </c>
      <c r="G196" s="4"/>
      <c r="H196" s="4"/>
      <c r="I196" s="4"/>
      <c r="J196" s="4"/>
      <c r="K196" s="4"/>
      <c r="L196" s="20"/>
      <c r="N196" s="19"/>
      <c r="O196" s="4" t="s">
        <v>314</v>
      </c>
      <c r="P196" s="4"/>
      <c r="Q196" s="4"/>
      <c r="R196" s="4"/>
      <c r="S196" s="4"/>
      <c r="T196" s="4"/>
      <c r="U196" s="4"/>
      <c r="V196" s="4"/>
      <c r="W196" s="20"/>
    </row>
    <row r="197" spans="3:23" x14ac:dyDescent="0.25">
      <c r="C197" s="19"/>
      <c r="D197" s="4">
        <f t="shared" si="5"/>
        <v>109</v>
      </c>
      <c r="E197" s="4" t="s">
        <v>157</v>
      </c>
      <c r="F197" s="20">
        <f t="shared" si="4"/>
        <v>0</v>
      </c>
      <c r="G197" s="4"/>
      <c r="H197" s="4"/>
      <c r="I197" s="4"/>
      <c r="J197" s="4"/>
      <c r="K197" s="4"/>
      <c r="L197" s="20"/>
      <c r="N197" s="19"/>
      <c r="O197" s="4" t="s">
        <v>315</v>
      </c>
      <c r="P197" s="4"/>
      <c r="Q197" s="4"/>
      <c r="R197" s="4"/>
      <c r="S197" s="4"/>
      <c r="T197" s="4"/>
      <c r="U197" s="4"/>
      <c r="V197" s="4"/>
      <c r="W197" s="20"/>
    </row>
    <row r="198" spans="3:23" x14ac:dyDescent="0.25">
      <c r="C198" s="19"/>
      <c r="D198" s="4">
        <f t="shared" si="5"/>
        <v>110</v>
      </c>
      <c r="E198" s="4" t="s">
        <v>158</v>
      </c>
      <c r="F198" s="20">
        <f t="shared" si="4"/>
        <v>0</v>
      </c>
      <c r="G198" s="4"/>
      <c r="H198" s="4"/>
      <c r="I198" s="4"/>
      <c r="J198" s="4"/>
      <c r="K198" s="4"/>
      <c r="L198" s="20"/>
      <c r="N198" s="19"/>
      <c r="O198" s="4" t="s">
        <v>307</v>
      </c>
      <c r="P198" s="4"/>
      <c r="Q198" s="4"/>
      <c r="R198" s="4"/>
      <c r="S198" s="4"/>
      <c r="T198" s="4"/>
      <c r="U198" s="4"/>
      <c r="V198" s="4"/>
      <c r="W198" s="20"/>
    </row>
    <row r="199" spans="3:23" x14ac:dyDescent="0.25">
      <c r="C199" s="19"/>
      <c r="D199" s="4">
        <f t="shared" si="5"/>
        <v>111</v>
      </c>
      <c r="E199" s="4" t="s">
        <v>159</v>
      </c>
      <c r="F199" s="20">
        <f t="shared" si="4"/>
        <v>0</v>
      </c>
      <c r="G199" s="4"/>
      <c r="H199" s="4"/>
      <c r="I199" s="4"/>
      <c r="J199" s="4"/>
      <c r="K199" s="4"/>
      <c r="L199" s="20"/>
      <c r="N199" s="19"/>
      <c r="O199" s="4"/>
      <c r="P199" s="4"/>
      <c r="Q199" s="4"/>
      <c r="R199" s="4"/>
      <c r="S199" s="4"/>
      <c r="T199" s="4"/>
      <c r="U199" s="4"/>
      <c r="V199" s="4"/>
      <c r="W199" s="20"/>
    </row>
    <row r="200" spans="3:23" x14ac:dyDescent="0.25">
      <c r="C200" s="19"/>
      <c r="D200" s="4">
        <f t="shared" si="5"/>
        <v>112</v>
      </c>
      <c r="E200" s="4" t="s">
        <v>160</v>
      </c>
      <c r="F200" s="20">
        <f t="shared" si="4"/>
        <v>0</v>
      </c>
      <c r="G200" s="4"/>
      <c r="H200" s="4"/>
      <c r="I200" s="4"/>
      <c r="J200" s="4"/>
      <c r="K200" s="4"/>
      <c r="L200" s="20"/>
      <c r="N200" s="19" t="s">
        <v>331</v>
      </c>
      <c r="O200" s="4"/>
      <c r="P200" s="4"/>
      <c r="Q200" s="4"/>
      <c r="R200" s="4"/>
      <c r="S200" s="4"/>
      <c r="T200" s="4"/>
      <c r="U200" s="4"/>
      <c r="V200" s="4"/>
      <c r="W200" s="20"/>
    </row>
    <row r="201" spans="3:23" x14ac:dyDescent="0.25">
      <c r="C201" s="19"/>
      <c r="D201" s="4">
        <f t="shared" si="5"/>
        <v>113</v>
      </c>
      <c r="E201" s="4" t="s">
        <v>161</v>
      </c>
      <c r="F201" s="20">
        <f t="shared" si="4"/>
        <v>0</v>
      </c>
      <c r="G201" s="4"/>
      <c r="H201" s="4"/>
      <c r="I201" s="4"/>
      <c r="J201" s="4"/>
      <c r="K201" s="4"/>
      <c r="L201" s="20"/>
      <c r="N201" s="19"/>
      <c r="O201" s="4" t="s">
        <v>336</v>
      </c>
      <c r="P201" s="4"/>
      <c r="Q201" s="4"/>
      <c r="R201" s="4"/>
      <c r="S201" s="4"/>
      <c r="T201" s="4">
        <f>$M$40</f>
        <v>4</v>
      </c>
      <c r="U201" s="4">
        <f>IF($O$79=O201, T201, 0)</f>
        <v>0</v>
      </c>
      <c r="V201" s="4"/>
      <c r="W201" s="20"/>
    </row>
    <row r="202" spans="3:23" x14ac:dyDescent="0.25">
      <c r="C202" s="19"/>
      <c r="D202" s="4">
        <f t="shared" si="5"/>
        <v>114</v>
      </c>
      <c r="E202" s="4" t="s">
        <v>162</v>
      </c>
      <c r="F202" s="20">
        <f t="shared" si="4"/>
        <v>0</v>
      </c>
      <c r="G202" s="4"/>
      <c r="H202" s="4"/>
      <c r="I202" s="4"/>
      <c r="J202" s="4"/>
      <c r="K202" s="4"/>
      <c r="L202" s="20"/>
      <c r="N202" s="19"/>
      <c r="O202" s="4" t="s">
        <v>339</v>
      </c>
      <c r="P202" s="4"/>
      <c r="Q202" s="4"/>
      <c r="R202" s="4"/>
      <c r="S202" s="4"/>
      <c r="T202" s="4">
        <f>$M$42</f>
        <v>200</v>
      </c>
      <c r="U202" s="4">
        <f t="shared" ref="U202:U209" si="6">IF($O$79=O202, T202, 0)</f>
        <v>200</v>
      </c>
      <c r="V202" s="4"/>
      <c r="W202" s="20"/>
    </row>
    <row r="203" spans="3:23" x14ac:dyDescent="0.25">
      <c r="C203" s="19"/>
      <c r="D203" s="4">
        <f t="shared" si="5"/>
        <v>115</v>
      </c>
      <c r="E203" s="4" t="s">
        <v>163</v>
      </c>
      <c r="F203" s="20">
        <f t="shared" si="4"/>
        <v>0</v>
      </c>
      <c r="G203" s="4"/>
      <c r="H203" s="4"/>
      <c r="I203" s="4"/>
      <c r="J203" s="4"/>
      <c r="K203" s="4"/>
      <c r="L203" s="20"/>
      <c r="N203" s="19"/>
      <c r="O203" s="4" t="s">
        <v>335</v>
      </c>
      <c r="P203" s="4"/>
      <c r="Q203" s="4"/>
      <c r="R203" s="4"/>
      <c r="S203" s="4"/>
      <c r="T203" s="4">
        <f>$M$44</f>
        <v>12</v>
      </c>
      <c r="U203" s="4">
        <f t="shared" si="6"/>
        <v>0</v>
      </c>
      <c r="V203" s="4"/>
      <c r="W203" s="20"/>
    </row>
    <row r="204" spans="3:23" x14ac:dyDescent="0.25">
      <c r="C204" s="19"/>
      <c r="D204" s="4">
        <f t="shared" si="5"/>
        <v>116</v>
      </c>
      <c r="E204" s="4" t="s">
        <v>164</v>
      </c>
      <c r="F204" s="20">
        <f t="shared" si="4"/>
        <v>0</v>
      </c>
      <c r="G204" s="4"/>
      <c r="H204" s="4"/>
      <c r="I204" s="4"/>
      <c r="J204" s="4"/>
      <c r="K204" s="4"/>
      <c r="L204" s="20"/>
      <c r="N204" s="19"/>
      <c r="O204" s="4" t="s">
        <v>367</v>
      </c>
      <c r="P204" s="4"/>
      <c r="Q204" s="4"/>
      <c r="R204" s="4"/>
      <c r="S204" s="4"/>
      <c r="T204" s="4">
        <f>$M$46</f>
        <v>8</v>
      </c>
      <c r="U204" s="4">
        <f t="shared" si="6"/>
        <v>0</v>
      </c>
      <c r="V204" s="4"/>
      <c r="W204" s="20"/>
    </row>
    <row r="205" spans="3:23" x14ac:dyDescent="0.25">
      <c r="C205" s="19"/>
      <c r="D205" s="4">
        <f t="shared" si="5"/>
        <v>117</v>
      </c>
      <c r="E205" s="4" t="s">
        <v>165</v>
      </c>
      <c r="F205" s="20">
        <f t="shared" si="4"/>
        <v>0</v>
      </c>
      <c r="G205" s="4"/>
      <c r="H205" s="4"/>
      <c r="I205" s="4"/>
      <c r="J205" s="4"/>
      <c r="K205" s="4"/>
      <c r="L205" s="20"/>
      <c r="N205" s="19"/>
      <c r="O205" s="4" t="s">
        <v>337</v>
      </c>
      <c r="P205" s="4"/>
      <c r="Q205" s="4"/>
      <c r="R205" s="4"/>
      <c r="S205" s="4"/>
      <c r="T205" s="4">
        <f>$M$48 * 0.001</f>
        <v>3.2000000000000001E-2</v>
      </c>
      <c r="U205" s="4">
        <f t="shared" si="6"/>
        <v>0</v>
      </c>
      <c r="V205" s="4"/>
      <c r="W205" s="20"/>
    </row>
    <row r="206" spans="3:23" x14ac:dyDescent="0.25">
      <c r="C206" s="19"/>
      <c r="D206" s="4">
        <f t="shared" si="5"/>
        <v>118</v>
      </c>
      <c r="E206" s="4" t="s">
        <v>166</v>
      </c>
      <c r="F206" s="20">
        <f t="shared" si="4"/>
        <v>0</v>
      </c>
      <c r="G206" s="4"/>
      <c r="H206" s="4"/>
      <c r="I206" s="4"/>
      <c r="J206" s="4"/>
      <c r="K206" s="4"/>
      <c r="L206" s="20"/>
      <c r="N206" s="19"/>
      <c r="O206" s="4" t="s">
        <v>338</v>
      </c>
      <c r="P206" s="4"/>
      <c r="Q206" s="4"/>
      <c r="R206" s="4"/>
      <c r="S206" s="4"/>
      <c r="T206" s="33">
        <f>$M$50 * 0.001</f>
        <v>3.2767999999999999E-2</v>
      </c>
      <c r="U206" s="4">
        <f t="shared" si="6"/>
        <v>0</v>
      </c>
      <c r="V206" s="4"/>
      <c r="W206" s="20"/>
    </row>
    <row r="207" spans="3:23" x14ac:dyDescent="0.25">
      <c r="C207" s="19"/>
      <c r="D207" s="4">
        <f t="shared" si="5"/>
        <v>119</v>
      </c>
      <c r="E207" s="4" t="s">
        <v>167</v>
      </c>
      <c r="F207" s="20">
        <f t="shared" si="4"/>
        <v>0</v>
      </c>
      <c r="G207" s="4"/>
      <c r="H207" s="4"/>
      <c r="I207" s="4"/>
      <c r="J207" s="4"/>
      <c r="K207" s="4"/>
      <c r="L207" s="20"/>
      <c r="N207" s="19"/>
      <c r="O207" s="4" t="s">
        <v>334</v>
      </c>
      <c r="P207" s="4"/>
      <c r="Q207" s="4"/>
      <c r="R207" s="4"/>
      <c r="S207" s="4"/>
      <c r="T207" s="4">
        <f>M71</f>
        <v>100</v>
      </c>
      <c r="U207" s="4">
        <f t="shared" si="6"/>
        <v>0</v>
      </c>
      <c r="V207" s="4"/>
      <c r="W207" s="20"/>
    </row>
    <row r="208" spans="3:23" x14ac:dyDescent="0.25">
      <c r="C208" s="19"/>
      <c r="D208" s="4">
        <f t="shared" si="5"/>
        <v>120</v>
      </c>
      <c r="E208" s="4" t="s">
        <v>168</v>
      </c>
      <c r="F208" s="20">
        <f t="shared" si="4"/>
        <v>0</v>
      </c>
      <c r="G208" s="4"/>
      <c r="H208" s="4"/>
      <c r="I208" s="4"/>
      <c r="J208" s="4"/>
      <c r="K208" s="4"/>
      <c r="L208" s="20"/>
      <c r="N208" s="19"/>
      <c r="O208" s="4" t="s">
        <v>333</v>
      </c>
      <c r="P208" s="4"/>
      <c r="Q208" s="4"/>
      <c r="R208" s="4"/>
      <c r="S208" s="4"/>
      <c r="T208" s="4">
        <f>M73</f>
        <v>200</v>
      </c>
      <c r="U208" s="4">
        <f t="shared" si="6"/>
        <v>0</v>
      </c>
      <c r="V208" s="4"/>
      <c r="W208" s="20"/>
    </row>
    <row r="209" spans="3:23" x14ac:dyDescent="0.25">
      <c r="C209" s="19"/>
      <c r="D209" s="4">
        <f t="shared" si="5"/>
        <v>121</v>
      </c>
      <c r="E209" s="4" t="s">
        <v>169</v>
      </c>
      <c r="F209" s="20">
        <f t="shared" si="4"/>
        <v>0</v>
      </c>
      <c r="G209" s="4"/>
      <c r="H209" s="4"/>
      <c r="I209" s="4"/>
      <c r="J209" s="4"/>
      <c r="K209" s="4"/>
      <c r="L209" s="20"/>
      <c r="N209" s="19"/>
      <c r="O209" s="4" t="s">
        <v>332</v>
      </c>
      <c r="P209" s="4"/>
      <c r="Q209" s="4"/>
      <c r="R209" s="4"/>
      <c r="S209" s="4"/>
      <c r="T209" s="4">
        <f>M75</f>
        <v>2</v>
      </c>
      <c r="U209" s="4">
        <f t="shared" si="6"/>
        <v>0</v>
      </c>
      <c r="V209" s="4"/>
      <c r="W209" s="20"/>
    </row>
    <row r="210" spans="3:23" x14ac:dyDescent="0.25">
      <c r="C210" s="19"/>
      <c r="D210" s="4">
        <f t="shared" si="5"/>
        <v>122</v>
      </c>
      <c r="E210" s="4" t="s">
        <v>170</v>
      </c>
      <c r="F210" s="20">
        <f t="shared" si="4"/>
        <v>0</v>
      </c>
      <c r="G210" s="4"/>
      <c r="H210" s="4"/>
      <c r="I210" s="4"/>
      <c r="J210" s="4"/>
      <c r="K210" s="4"/>
      <c r="L210" s="20"/>
      <c r="N210" s="19"/>
      <c r="O210" s="4"/>
      <c r="P210" s="4"/>
      <c r="Q210" s="4"/>
      <c r="R210" s="4"/>
      <c r="S210" s="4"/>
      <c r="T210" s="4"/>
      <c r="U210" s="4">
        <f>SUM(U201:U209)</f>
        <v>200</v>
      </c>
      <c r="V210" s="4"/>
      <c r="W210" s="20"/>
    </row>
    <row r="211" spans="3:23" x14ac:dyDescent="0.25">
      <c r="C211" s="19"/>
      <c r="D211" s="4">
        <f t="shared" si="5"/>
        <v>123</v>
      </c>
      <c r="E211" s="4" t="s">
        <v>171</v>
      </c>
      <c r="F211" s="20">
        <f t="shared" si="4"/>
        <v>0</v>
      </c>
      <c r="G211" s="4"/>
      <c r="H211" s="4"/>
      <c r="I211" s="4"/>
      <c r="J211" s="4"/>
      <c r="K211" s="4"/>
      <c r="L211" s="20"/>
      <c r="N211" s="19" t="s">
        <v>343</v>
      </c>
      <c r="O211" s="4" t="s">
        <v>369</v>
      </c>
      <c r="P211" s="4"/>
      <c r="Q211" s="4"/>
      <c r="R211" s="4"/>
      <c r="S211" s="4"/>
      <c r="T211" s="4"/>
      <c r="U211" s="4"/>
      <c r="V211" s="4"/>
      <c r="W211" s="20"/>
    </row>
    <row r="212" spans="3:23" x14ac:dyDescent="0.25">
      <c r="C212" s="19"/>
      <c r="D212" s="4">
        <f t="shared" si="5"/>
        <v>124</v>
      </c>
      <c r="E212" s="4" t="s">
        <v>172</v>
      </c>
      <c r="F212" s="20">
        <f t="shared" si="4"/>
        <v>0</v>
      </c>
      <c r="G212" s="4"/>
      <c r="H212" s="4"/>
      <c r="I212" s="4"/>
      <c r="J212" s="4"/>
      <c r="K212" s="4"/>
      <c r="L212" s="20"/>
      <c r="N212" s="19"/>
      <c r="O212" s="4" t="s">
        <v>345</v>
      </c>
      <c r="P212" s="4"/>
      <c r="Q212" s="4"/>
      <c r="R212" s="4"/>
      <c r="S212" s="4"/>
      <c r="T212" s="4">
        <v>1</v>
      </c>
      <c r="U212" s="4"/>
      <c r="V212" s="4"/>
      <c r="W212" s="20"/>
    </row>
    <row r="213" spans="3:23" x14ac:dyDescent="0.25">
      <c r="C213" s="19"/>
      <c r="D213" s="4">
        <f t="shared" si="5"/>
        <v>125</v>
      </c>
      <c r="E213" s="4" t="s">
        <v>173</v>
      </c>
      <c r="F213" s="20">
        <f t="shared" si="4"/>
        <v>0</v>
      </c>
      <c r="G213" s="4"/>
      <c r="H213" s="4"/>
      <c r="I213" s="4"/>
      <c r="J213" s="4"/>
      <c r="K213" s="4"/>
      <c r="L213" s="20"/>
      <c r="N213" s="19"/>
      <c r="O213" s="4" t="s">
        <v>346</v>
      </c>
      <c r="P213" s="4"/>
      <c r="Q213" s="4"/>
      <c r="R213" s="4"/>
      <c r="S213" s="4"/>
      <c r="T213" s="4">
        <v>2</v>
      </c>
      <c r="U213" s="4"/>
      <c r="V213" s="4"/>
      <c r="W213" s="20"/>
    </row>
    <row r="214" spans="3:23" x14ac:dyDescent="0.25">
      <c r="C214" s="19"/>
      <c r="D214" s="4">
        <f t="shared" si="5"/>
        <v>126</v>
      </c>
      <c r="E214" s="4" t="s">
        <v>174</v>
      </c>
      <c r="F214" s="20">
        <f t="shared" si="4"/>
        <v>0</v>
      </c>
      <c r="G214" s="4"/>
      <c r="H214" s="4"/>
      <c r="I214" s="4"/>
      <c r="J214" s="4"/>
      <c r="K214" s="4"/>
      <c r="L214" s="20"/>
      <c r="N214" s="19"/>
      <c r="O214" s="4" t="s">
        <v>347</v>
      </c>
      <c r="P214" s="4"/>
      <c r="Q214" s="4"/>
      <c r="R214" s="4"/>
      <c r="S214" s="4"/>
      <c r="T214" s="4">
        <v>4</v>
      </c>
      <c r="U214" s="4"/>
      <c r="V214" s="4"/>
      <c r="W214" s="20"/>
    </row>
    <row r="215" spans="3:23" x14ac:dyDescent="0.25">
      <c r="C215" s="19"/>
      <c r="D215" s="4">
        <f t="shared" si="5"/>
        <v>127</v>
      </c>
      <c r="E215" s="4" t="s">
        <v>175</v>
      </c>
      <c r="F215" s="20">
        <f t="shared" si="4"/>
        <v>0</v>
      </c>
      <c r="G215" s="4"/>
      <c r="H215" s="4"/>
      <c r="I215" s="4"/>
      <c r="J215" s="4"/>
      <c r="K215" s="4"/>
      <c r="L215" s="20"/>
      <c r="N215" s="19"/>
      <c r="O215" s="4" t="s">
        <v>348</v>
      </c>
      <c r="P215" s="4"/>
      <c r="Q215" s="4"/>
      <c r="R215" s="4"/>
      <c r="S215" s="4"/>
      <c r="T215" s="4">
        <v>8</v>
      </c>
      <c r="U215" s="4"/>
      <c r="V215" s="4"/>
      <c r="W215" s="20"/>
    </row>
    <row r="216" spans="3:23" x14ac:dyDescent="0.25">
      <c r="C216" s="19"/>
      <c r="D216" s="4">
        <f t="shared" si="5"/>
        <v>128</v>
      </c>
      <c r="E216" s="4" t="s">
        <v>3</v>
      </c>
      <c r="F216" s="20">
        <f t="shared" si="4"/>
        <v>0</v>
      </c>
      <c r="G216" s="4"/>
      <c r="H216" s="4"/>
      <c r="I216" s="4"/>
      <c r="J216" s="4"/>
      <c r="K216" s="4"/>
      <c r="L216" s="20"/>
      <c r="N216" s="19"/>
      <c r="O216" s="4" t="s">
        <v>349</v>
      </c>
      <c r="P216" s="4"/>
      <c r="Q216" s="4"/>
      <c r="R216" s="4"/>
      <c r="S216" s="4"/>
      <c r="T216" s="4">
        <v>16</v>
      </c>
      <c r="U216" s="4"/>
      <c r="V216" s="4"/>
      <c r="W216" s="20"/>
    </row>
    <row r="217" spans="3:23" ht="14.4" thickBot="1" x14ac:dyDescent="0.3">
      <c r="C217" s="22"/>
      <c r="D217" s="23"/>
      <c r="E217" s="23"/>
      <c r="F217" s="24">
        <f>SUM(F89:F216)</f>
        <v>50</v>
      </c>
      <c r="G217" s="23"/>
      <c r="H217" s="23"/>
      <c r="I217" s="23"/>
      <c r="J217" s="23"/>
      <c r="K217" s="23"/>
      <c r="L217" s="24"/>
      <c r="N217" s="19"/>
      <c r="O217" s="4" t="s">
        <v>350</v>
      </c>
      <c r="P217" s="4"/>
      <c r="Q217" s="4"/>
      <c r="R217" s="4"/>
      <c r="S217" s="4"/>
      <c r="T217" s="4">
        <v>32</v>
      </c>
      <c r="U217" s="4"/>
      <c r="V217" s="4"/>
      <c r="W217" s="20"/>
    </row>
    <row r="218" spans="3:23" x14ac:dyDescent="0.25">
      <c r="N218" s="19"/>
      <c r="O218" s="4" t="s">
        <v>351</v>
      </c>
      <c r="P218" s="4"/>
      <c r="Q218" s="4"/>
      <c r="R218" s="4"/>
      <c r="S218" s="4"/>
      <c r="T218" s="4">
        <v>64</v>
      </c>
      <c r="U218" s="4"/>
      <c r="V218" s="4"/>
      <c r="W218" s="20"/>
    </row>
    <row r="219" spans="3:23" x14ac:dyDescent="0.25">
      <c r="N219" s="19"/>
      <c r="O219" s="4" t="s">
        <v>352</v>
      </c>
      <c r="P219" s="4"/>
      <c r="Q219" s="4"/>
      <c r="R219" s="4"/>
      <c r="S219" s="4"/>
      <c r="T219" s="4">
        <v>128</v>
      </c>
      <c r="U219" s="4"/>
      <c r="V219" s="4"/>
      <c r="W219" s="20"/>
    </row>
    <row r="220" spans="3:23" x14ac:dyDescent="0.25">
      <c r="N220" s="19"/>
      <c r="O220" s="4" t="s">
        <v>353</v>
      </c>
      <c r="P220" s="4"/>
      <c r="Q220" s="4"/>
      <c r="R220" s="4"/>
      <c r="S220" s="4"/>
      <c r="T220" s="4">
        <v>256</v>
      </c>
      <c r="U220" s="4"/>
      <c r="V220" s="4"/>
      <c r="W220" s="20"/>
    </row>
    <row r="221" spans="3:23" x14ac:dyDescent="0.25">
      <c r="N221" s="19"/>
      <c r="O221" s="4" t="s">
        <v>354</v>
      </c>
      <c r="P221" s="4"/>
      <c r="Q221" s="4"/>
      <c r="R221" s="4"/>
      <c r="S221" s="4"/>
      <c r="T221" s="4">
        <v>512</v>
      </c>
      <c r="U221" s="4"/>
      <c r="V221" s="4"/>
      <c r="W221" s="20"/>
    </row>
    <row r="222" spans="3:23" x14ac:dyDescent="0.25">
      <c r="N222" s="19"/>
      <c r="O222" s="4" t="s">
        <v>355</v>
      </c>
      <c r="P222" s="4"/>
      <c r="Q222" s="4"/>
      <c r="R222" s="4"/>
      <c r="S222" s="4"/>
      <c r="T222" s="4">
        <v>1024</v>
      </c>
      <c r="U222" s="4"/>
      <c r="V222" s="4"/>
      <c r="W222" s="20"/>
    </row>
    <row r="223" spans="3:23" x14ac:dyDescent="0.25">
      <c r="N223" s="19"/>
      <c r="O223" s="4" t="s">
        <v>356</v>
      </c>
      <c r="P223" s="4"/>
      <c r="Q223" s="4"/>
      <c r="R223" s="4"/>
      <c r="S223" s="4"/>
      <c r="T223" s="4">
        <v>2048</v>
      </c>
      <c r="U223" s="4"/>
      <c r="V223" s="4"/>
      <c r="W223" s="20"/>
    </row>
    <row r="224" spans="3:23" x14ac:dyDescent="0.25">
      <c r="N224" s="19"/>
      <c r="O224" s="4" t="s">
        <v>357</v>
      </c>
      <c r="P224" s="4"/>
      <c r="Q224" s="4"/>
      <c r="R224" s="4"/>
      <c r="S224" s="4"/>
      <c r="T224" s="4">
        <v>4096</v>
      </c>
      <c r="U224" s="4"/>
      <c r="V224" s="4"/>
      <c r="W224" s="20"/>
    </row>
    <row r="225" spans="4:23" x14ac:dyDescent="0.25">
      <c r="N225" s="19"/>
      <c r="O225" s="4" t="s">
        <v>358</v>
      </c>
      <c r="P225" s="4"/>
      <c r="Q225" s="4"/>
      <c r="R225" s="4"/>
      <c r="S225" s="4"/>
      <c r="T225" s="4">
        <v>8192</v>
      </c>
      <c r="U225" s="4"/>
      <c r="V225" s="4"/>
      <c r="W225" s="20"/>
    </row>
    <row r="226" spans="4:23" x14ac:dyDescent="0.25">
      <c r="N226" s="19"/>
      <c r="O226" s="4" t="s">
        <v>359</v>
      </c>
      <c r="P226" s="4"/>
      <c r="Q226" s="4"/>
      <c r="R226" s="4"/>
      <c r="S226" s="4"/>
      <c r="T226" s="4">
        <v>16384</v>
      </c>
      <c r="U226" s="4"/>
      <c r="V226" s="4"/>
      <c r="W226" s="20"/>
    </row>
    <row r="227" spans="4:23" x14ac:dyDescent="0.25">
      <c r="N227" s="19"/>
      <c r="O227" s="4" t="s">
        <v>344</v>
      </c>
      <c r="P227" s="4"/>
      <c r="Q227" s="4"/>
      <c r="R227" s="4"/>
      <c r="S227" s="4"/>
      <c r="T227" s="4">
        <v>32768</v>
      </c>
      <c r="U227" s="4"/>
      <c r="V227" s="4"/>
      <c r="W227" s="20"/>
    </row>
    <row r="228" spans="4:23" x14ac:dyDescent="0.25">
      <c r="N228" s="19"/>
      <c r="O228" s="4"/>
      <c r="P228" s="4"/>
      <c r="Q228" s="4"/>
      <c r="R228" s="4"/>
      <c r="S228" s="4"/>
      <c r="T228" s="4"/>
      <c r="U228" s="4"/>
      <c r="V228" s="4"/>
      <c r="W228" s="20"/>
    </row>
    <row r="229" spans="4:23" x14ac:dyDescent="0.25">
      <c r="N229" s="19" t="s">
        <v>361</v>
      </c>
      <c r="O229" s="4"/>
      <c r="P229" s="4"/>
      <c r="Q229" s="4"/>
      <c r="R229" s="4"/>
      <c r="S229" s="4"/>
      <c r="T229" s="4"/>
      <c r="U229" s="4"/>
      <c r="V229" s="4"/>
      <c r="W229" s="20"/>
    </row>
    <row r="230" spans="4:23" x14ac:dyDescent="0.25">
      <c r="N230" s="19"/>
      <c r="O230" s="4">
        <v>1</v>
      </c>
      <c r="P230" s="4"/>
      <c r="S230" s="5" t="s">
        <v>368</v>
      </c>
      <c r="T230" s="35">
        <f>Q66+($Q$65/512)</f>
        <v>5.42578125</v>
      </c>
      <c r="V230" s="4"/>
      <c r="W230" s="20"/>
    </row>
    <row r="231" spans="4:23" x14ac:dyDescent="0.25">
      <c r="N231" s="19"/>
      <c r="O231" s="4">
        <v>2</v>
      </c>
      <c r="P231" s="4"/>
      <c r="Q231" s="4"/>
      <c r="R231" s="4"/>
      <c r="S231" s="4"/>
      <c r="T231" s="4"/>
      <c r="U231" s="4"/>
      <c r="V231" s="4"/>
      <c r="W231" s="20"/>
    </row>
    <row r="232" spans="4:23" x14ac:dyDescent="0.25">
      <c r="N232" s="19"/>
      <c r="O232" s="5" t="s">
        <v>306</v>
      </c>
      <c r="P232" s="4"/>
      <c r="Q232" s="4"/>
      <c r="R232" s="4"/>
      <c r="S232" s="4"/>
      <c r="U232" s="4"/>
      <c r="V232" s="4"/>
      <c r="W232" s="20"/>
    </row>
    <row r="233" spans="4:23" ht="14.4" thickBot="1" x14ac:dyDescent="0.3">
      <c r="N233" s="22"/>
      <c r="O233" s="23">
        <v>512</v>
      </c>
      <c r="P233" s="23"/>
      <c r="Q233" s="23"/>
      <c r="R233" s="23"/>
      <c r="S233" s="23"/>
      <c r="T233" s="23"/>
      <c r="U233" s="23"/>
      <c r="V233" s="23"/>
      <c r="W233" s="24"/>
    </row>
    <row r="236" spans="4:23" ht="14.4" thickBot="1" x14ac:dyDescent="0.3"/>
    <row r="237" spans="4:23" x14ac:dyDescent="0.25">
      <c r="D237" s="16" t="s">
        <v>440</v>
      </c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8"/>
    </row>
    <row r="238" spans="4:23" x14ac:dyDescent="0.25">
      <c r="D238" s="25" t="s">
        <v>207</v>
      </c>
      <c r="E238" s="26"/>
      <c r="F238" s="26" t="s">
        <v>203</v>
      </c>
      <c r="G238" s="26" t="s">
        <v>204</v>
      </c>
      <c r="H238" s="26" t="s">
        <v>205</v>
      </c>
      <c r="I238" s="26" t="s">
        <v>206</v>
      </c>
      <c r="J238" s="26" t="s">
        <v>211</v>
      </c>
      <c r="K238" s="26"/>
      <c r="L238" s="26"/>
      <c r="M238" s="26" t="s">
        <v>250</v>
      </c>
      <c r="N238" s="26"/>
      <c r="O238" s="26"/>
      <c r="P238" s="27"/>
    </row>
    <row r="239" spans="4:23" x14ac:dyDescent="0.25">
      <c r="D239" s="19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20"/>
    </row>
    <row r="240" spans="4:23" x14ac:dyDescent="0.25">
      <c r="D240" s="19" t="s">
        <v>208</v>
      </c>
      <c r="E240" s="4"/>
      <c r="F240" s="4" t="s">
        <v>209</v>
      </c>
      <c r="G240" s="4">
        <v>0</v>
      </c>
      <c r="H240" s="4">
        <v>64</v>
      </c>
      <c r="I240" s="29" t="s">
        <v>22</v>
      </c>
      <c r="J240" s="4" t="s">
        <v>29</v>
      </c>
      <c r="K240" s="4"/>
      <c r="L240" s="4"/>
      <c r="M240" s="4" t="s">
        <v>210</v>
      </c>
      <c r="N240" s="4"/>
      <c r="O240" s="4"/>
      <c r="P240" s="20"/>
      <c r="Q240" s="3">
        <f>IF(E22&gt;H240,1,0)</f>
        <v>0</v>
      </c>
    </row>
    <row r="241" spans="4:19" x14ac:dyDescent="0.25">
      <c r="D241" s="19" t="s">
        <v>212</v>
      </c>
      <c r="E241" s="4"/>
      <c r="F241" s="4" t="s">
        <v>209</v>
      </c>
      <c r="G241" s="4">
        <v>4</v>
      </c>
      <c r="H241" s="4">
        <v>32</v>
      </c>
      <c r="I241" s="29" t="s">
        <v>22</v>
      </c>
      <c r="J241" s="4" t="s">
        <v>30</v>
      </c>
      <c r="K241" s="4"/>
      <c r="L241" s="4"/>
      <c r="M241" s="4" t="s">
        <v>223</v>
      </c>
      <c r="N241" s="4"/>
      <c r="O241" s="4"/>
      <c r="P241" s="20"/>
      <c r="Q241" s="3">
        <f>IF($E$23&gt;$H$241,1,0)</f>
        <v>0</v>
      </c>
      <c r="R241" s="3">
        <f>IF($E$23&lt;$G$241,1,0)</f>
        <v>0</v>
      </c>
      <c r="S241" s="3">
        <f>SUM(Q241:R241)</f>
        <v>0</v>
      </c>
    </row>
    <row r="242" spans="4:19" x14ac:dyDescent="0.25">
      <c r="D242" s="19" t="s">
        <v>213</v>
      </c>
      <c r="E242" s="4"/>
      <c r="F242" s="4" t="s">
        <v>209</v>
      </c>
      <c r="G242" s="4">
        <v>32</v>
      </c>
      <c r="H242" s="4">
        <v>100</v>
      </c>
      <c r="I242" s="29" t="s">
        <v>48</v>
      </c>
      <c r="J242" s="4" t="s">
        <v>214</v>
      </c>
      <c r="K242" s="4"/>
      <c r="L242" s="4"/>
      <c r="M242" s="4" t="s">
        <v>223</v>
      </c>
      <c r="N242" s="4"/>
      <c r="O242" s="4"/>
      <c r="P242" s="20"/>
      <c r="Q242" s="3">
        <f>IF($G$46&gt;$H$242,1,0)</f>
        <v>0</v>
      </c>
      <c r="R242" s="3">
        <f>IF($G$46&lt;$G$242,1,0)</f>
        <v>0</v>
      </c>
      <c r="S242" s="3">
        <f>IF($I$51="OFF", 0, SUM($Q$242:$R$242))</f>
        <v>0</v>
      </c>
    </row>
    <row r="243" spans="4:19" x14ac:dyDescent="0.25">
      <c r="D243" s="19" t="s">
        <v>441</v>
      </c>
      <c r="E243" s="4"/>
      <c r="F243" s="4" t="s">
        <v>215</v>
      </c>
      <c r="G243" s="4">
        <v>0</v>
      </c>
      <c r="H243" s="4">
        <v>252</v>
      </c>
      <c r="I243" s="29" t="s">
        <v>22</v>
      </c>
      <c r="J243" s="4"/>
      <c r="K243" s="4"/>
      <c r="L243" s="4"/>
      <c r="M243" s="4" t="s">
        <v>216</v>
      </c>
      <c r="N243" s="4"/>
      <c r="O243" s="4"/>
      <c r="P243" s="20"/>
    </row>
    <row r="244" spans="4:19" x14ac:dyDescent="0.25">
      <c r="D244" s="19" t="s">
        <v>444</v>
      </c>
      <c r="E244" s="4"/>
      <c r="F244" s="4" t="s">
        <v>217</v>
      </c>
      <c r="G244" s="4">
        <v>0</v>
      </c>
      <c r="H244" s="4">
        <v>100</v>
      </c>
      <c r="I244" s="29" t="s">
        <v>22</v>
      </c>
      <c r="J244" s="4" t="s">
        <v>443</v>
      </c>
      <c r="K244" s="4"/>
      <c r="L244" s="4"/>
      <c r="M244" s="4" t="s">
        <v>218</v>
      </c>
      <c r="N244" s="4"/>
      <c r="O244" s="4"/>
      <c r="P244" s="20"/>
    </row>
    <row r="245" spans="4:19" x14ac:dyDescent="0.25">
      <c r="D245" s="19" t="s">
        <v>445</v>
      </c>
      <c r="E245" s="4"/>
      <c r="F245" s="4" t="s">
        <v>217</v>
      </c>
      <c r="G245" s="4">
        <v>0</v>
      </c>
      <c r="H245" s="4">
        <v>200</v>
      </c>
      <c r="I245" s="29" t="s">
        <v>22</v>
      </c>
      <c r="J245" s="4" t="s">
        <v>442</v>
      </c>
      <c r="K245" s="4"/>
      <c r="L245" s="4"/>
      <c r="M245" s="4"/>
      <c r="N245" s="4"/>
      <c r="O245" s="4"/>
      <c r="P245" s="20"/>
    </row>
    <row r="246" spans="4:19" x14ac:dyDescent="0.25">
      <c r="D246" s="19" t="s">
        <v>446</v>
      </c>
      <c r="E246" s="4"/>
      <c r="F246" s="4" t="s">
        <v>217</v>
      </c>
      <c r="G246" s="4">
        <v>0</v>
      </c>
      <c r="H246" s="4">
        <v>252</v>
      </c>
      <c r="I246" s="29" t="s">
        <v>22</v>
      </c>
      <c r="J246" s="4" t="s">
        <v>219</v>
      </c>
      <c r="K246" s="4"/>
      <c r="L246" s="4"/>
      <c r="M246" s="4"/>
      <c r="N246" s="4"/>
      <c r="O246" s="4"/>
      <c r="P246" s="20"/>
    </row>
    <row r="247" spans="4:19" x14ac:dyDescent="0.25">
      <c r="D247" s="19" t="s">
        <v>447</v>
      </c>
      <c r="E247" s="4"/>
      <c r="F247" s="4" t="s">
        <v>220</v>
      </c>
      <c r="G247" s="21" t="s">
        <v>222</v>
      </c>
      <c r="H247" s="4">
        <v>50</v>
      </c>
      <c r="I247" s="29" t="s">
        <v>22</v>
      </c>
      <c r="J247" s="4"/>
      <c r="K247" s="4"/>
      <c r="L247" s="4"/>
      <c r="M247" s="4" t="s">
        <v>221</v>
      </c>
      <c r="N247" s="4"/>
      <c r="O247" s="4"/>
      <c r="P247" s="20"/>
    </row>
    <row r="248" spans="4:19" x14ac:dyDescent="0.25">
      <c r="D248" s="19"/>
      <c r="E248" s="4"/>
      <c r="F248" s="4"/>
      <c r="G248" s="4"/>
      <c r="H248" s="4"/>
      <c r="I248" s="29"/>
      <c r="J248" s="4"/>
      <c r="K248" s="4"/>
      <c r="L248" s="4"/>
      <c r="M248" s="4"/>
      <c r="N248" s="4"/>
      <c r="O248" s="4"/>
      <c r="P248" s="20"/>
    </row>
    <row r="249" spans="4:19" x14ac:dyDescent="0.25">
      <c r="D249" s="19" t="s">
        <v>224</v>
      </c>
      <c r="E249" s="4"/>
      <c r="F249" s="4" t="s">
        <v>225</v>
      </c>
      <c r="G249" s="4">
        <v>5</v>
      </c>
      <c r="H249" s="4">
        <v>64</v>
      </c>
      <c r="I249" s="29" t="s">
        <v>22</v>
      </c>
      <c r="J249" s="4" t="s">
        <v>227</v>
      </c>
      <c r="K249" s="4"/>
      <c r="L249" s="4"/>
      <c r="M249" s="4" t="s">
        <v>226</v>
      </c>
      <c r="N249" s="4"/>
      <c r="O249" s="4"/>
      <c r="P249" s="20"/>
    </row>
    <row r="250" spans="4:19" x14ac:dyDescent="0.25">
      <c r="D250" s="19" t="s">
        <v>228</v>
      </c>
      <c r="E250" s="4"/>
      <c r="F250" s="4" t="s">
        <v>229</v>
      </c>
      <c r="G250" s="4">
        <v>350</v>
      </c>
      <c r="H250" s="4">
        <v>700</v>
      </c>
      <c r="I250" s="29" t="s">
        <v>22</v>
      </c>
      <c r="J250" s="4"/>
      <c r="K250" s="4"/>
      <c r="L250" s="4"/>
      <c r="M250" s="4" t="s">
        <v>230</v>
      </c>
      <c r="N250" s="4"/>
      <c r="O250" s="4"/>
      <c r="P250" s="20"/>
    </row>
    <row r="251" spans="4:19" x14ac:dyDescent="0.25">
      <c r="D251" s="19" t="s">
        <v>448</v>
      </c>
      <c r="E251" s="4"/>
      <c r="F251" s="4" t="s">
        <v>231</v>
      </c>
      <c r="G251" s="4">
        <v>10</v>
      </c>
      <c r="H251" s="4">
        <v>252</v>
      </c>
      <c r="I251" s="29" t="s">
        <v>22</v>
      </c>
      <c r="J251" s="4"/>
      <c r="K251" s="4"/>
      <c r="L251" s="4"/>
      <c r="M251" s="4" t="s">
        <v>232</v>
      </c>
      <c r="N251" s="4"/>
      <c r="O251" s="4"/>
      <c r="P251" s="20"/>
    </row>
    <row r="252" spans="4:19" ht="14.4" thickBot="1" x14ac:dyDescent="0.3">
      <c r="D252" s="22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4"/>
    </row>
    <row r="253" spans="4:19" x14ac:dyDescent="0.25"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4:19" ht="14.4" thickBot="1" x14ac:dyDescent="0.3"/>
    <row r="255" spans="4:19" x14ac:dyDescent="0.25">
      <c r="D255" s="16" t="s">
        <v>235</v>
      </c>
      <c r="E255" s="17"/>
      <c r="F255" s="17"/>
      <c r="G255" s="17"/>
      <c r="H255" s="17"/>
      <c r="I255" s="17"/>
      <c r="J255" s="17"/>
      <c r="K255" s="17"/>
      <c r="L255" s="17"/>
      <c r="M255" s="17"/>
      <c r="N255" s="18"/>
    </row>
    <row r="256" spans="4:19" x14ac:dyDescent="0.25">
      <c r="D256" s="25"/>
      <c r="E256" s="26" t="s">
        <v>234</v>
      </c>
      <c r="F256" s="26"/>
      <c r="G256" s="26"/>
      <c r="H256" s="26"/>
      <c r="I256" s="26"/>
      <c r="J256" s="26"/>
      <c r="K256" s="26"/>
      <c r="L256" s="26"/>
      <c r="M256" s="26"/>
      <c r="N256" s="27"/>
    </row>
    <row r="257" spans="4:14" x14ac:dyDescent="0.25">
      <c r="D257" s="19"/>
      <c r="E257" s="4" t="s">
        <v>233</v>
      </c>
      <c r="F257" s="4" t="b">
        <f>(M35="ON")</f>
        <v>1</v>
      </c>
      <c r="G257" s="4"/>
      <c r="H257" s="4" t="s">
        <v>238</v>
      </c>
      <c r="I257" s="4"/>
      <c r="J257" s="4"/>
      <c r="K257" s="4"/>
      <c r="L257" s="4"/>
      <c r="M257" s="4"/>
      <c r="N257" s="20"/>
    </row>
    <row r="258" spans="4:14" x14ac:dyDescent="0.25">
      <c r="D258" s="19"/>
      <c r="E258" s="4" t="s">
        <v>233</v>
      </c>
      <c r="F258" s="4" t="b">
        <f>AND(M35="ON", AND(F25&lt;&gt;24, F25&lt;&gt;12))</f>
        <v>0</v>
      </c>
      <c r="G258" s="4"/>
      <c r="H258" s="4" t="s">
        <v>239</v>
      </c>
      <c r="I258" s="4"/>
      <c r="J258" s="4"/>
      <c r="K258" s="4"/>
      <c r="L258" s="4"/>
      <c r="M258" s="4"/>
      <c r="N258" s="20"/>
    </row>
    <row r="259" spans="4:14" x14ac:dyDescent="0.25">
      <c r="D259" s="19"/>
      <c r="E259" s="4" t="s">
        <v>233</v>
      </c>
      <c r="F259" s="4" t="b">
        <f>AND(M28="FREQ_12MHz", F25=24)</f>
        <v>0</v>
      </c>
      <c r="G259" s="4"/>
      <c r="H259" s="4" t="s">
        <v>240</v>
      </c>
      <c r="I259" s="4"/>
      <c r="J259" s="4"/>
      <c r="K259" s="4"/>
      <c r="L259" s="4"/>
      <c r="M259" s="4"/>
      <c r="N259" s="20"/>
    </row>
    <row r="260" spans="4:14" x14ac:dyDescent="0.25">
      <c r="D260" s="19"/>
      <c r="E260" s="4" t="s">
        <v>233</v>
      </c>
      <c r="F260" s="4" t="b">
        <f>AND(M28="FREQ_24MHz", F25=12)</f>
        <v>0</v>
      </c>
      <c r="G260" s="4"/>
      <c r="H260" s="4" t="s">
        <v>241</v>
      </c>
      <c r="I260" s="4"/>
      <c r="J260" s="4"/>
      <c r="K260" s="4"/>
      <c r="L260" s="4"/>
      <c r="M260" s="4"/>
      <c r="N260" s="20"/>
    </row>
    <row r="261" spans="4:14" x14ac:dyDescent="0.25">
      <c r="D261" s="19"/>
      <c r="E261" s="4" t="s">
        <v>233</v>
      </c>
      <c r="F261" s="4" t="b">
        <f>AND(F257, OR(F258:F260))</f>
        <v>0</v>
      </c>
      <c r="G261" s="4"/>
      <c r="H261" s="4" t="s">
        <v>242</v>
      </c>
      <c r="I261" s="4"/>
      <c r="J261" s="4"/>
      <c r="K261" s="4"/>
      <c r="L261" s="4"/>
      <c r="M261" s="4"/>
      <c r="N261" s="20"/>
    </row>
    <row r="262" spans="4:14" x14ac:dyDescent="0.25">
      <c r="D262" s="19"/>
      <c r="E262" s="4"/>
      <c r="F262" s="4"/>
      <c r="G262" s="4"/>
      <c r="H262" s="4"/>
      <c r="I262" s="4"/>
      <c r="J262" s="4"/>
      <c r="K262" s="4"/>
      <c r="L262" s="4"/>
      <c r="M262" s="4"/>
      <c r="N262" s="20"/>
    </row>
    <row r="263" spans="4:14" x14ac:dyDescent="0.25">
      <c r="D263" s="19"/>
      <c r="E263" s="4" t="s">
        <v>236</v>
      </c>
      <c r="F263" s="4" t="b">
        <f>AND(G35="ON", I30="HS")</f>
        <v>0</v>
      </c>
      <c r="G263" s="4"/>
      <c r="H263" s="4" t="s">
        <v>243</v>
      </c>
      <c r="I263" s="4"/>
      <c r="J263" s="4"/>
      <c r="K263" s="4"/>
      <c r="L263" s="4"/>
      <c r="M263" s="4"/>
      <c r="N263" s="20"/>
    </row>
    <row r="264" spans="4:14" x14ac:dyDescent="0.25">
      <c r="D264" s="19"/>
      <c r="E264" s="4"/>
      <c r="F264" s="4"/>
      <c r="G264" s="4"/>
      <c r="H264" s="4"/>
      <c r="I264" s="4" t="s">
        <v>373</v>
      </c>
      <c r="J264" s="4"/>
      <c r="K264" s="4"/>
      <c r="L264" s="4"/>
      <c r="M264" s="4"/>
      <c r="N264" s="20"/>
    </row>
    <row r="265" spans="4:14" x14ac:dyDescent="0.25">
      <c r="D265" s="19"/>
      <c r="E265" s="4" t="s">
        <v>237</v>
      </c>
      <c r="F265" s="4">
        <f>IF(OR($M$19&lt;K120,$M$19&gt;L120),1,0)</f>
        <v>1</v>
      </c>
      <c r="G265" s="4">
        <f>IF($O$23=I265,1,0)</f>
        <v>0</v>
      </c>
      <c r="H265" s="4">
        <f>IF(AND(F265,G265),1,0)</f>
        <v>0</v>
      </c>
      <c r="I265" s="4" t="s">
        <v>376</v>
      </c>
      <c r="J265" s="4"/>
      <c r="K265" s="4"/>
      <c r="L265" s="4"/>
      <c r="M265" s="4"/>
      <c r="N265" s="20"/>
    </row>
    <row r="266" spans="4:14" x14ac:dyDescent="0.25">
      <c r="D266" s="19"/>
      <c r="E266" s="4" t="s">
        <v>237</v>
      </c>
      <c r="F266" s="4">
        <f>IF(OR($M$19&lt;K121,$M$19&gt;L121),1,0)</f>
        <v>1</v>
      </c>
      <c r="G266" s="4">
        <f>IF($O$23=I266,1,0)</f>
        <v>0</v>
      </c>
      <c r="H266" s="4">
        <f t="shared" ref="H266:H269" si="7">IF(AND(F266,G266),1,0)</f>
        <v>0</v>
      </c>
      <c r="I266" s="4" t="s">
        <v>377</v>
      </c>
      <c r="J266" s="4"/>
      <c r="K266" s="4"/>
      <c r="L266" s="4"/>
      <c r="M266" s="4"/>
      <c r="N266" s="20"/>
    </row>
    <row r="267" spans="4:14" x14ac:dyDescent="0.25">
      <c r="D267" s="19"/>
      <c r="E267" s="4" t="s">
        <v>237</v>
      </c>
      <c r="F267" s="4">
        <f>IF(OR($M$19&lt;K122,$M$19&gt;L122),1,0)</f>
        <v>1</v>
      </c>
      <c r="G267" s="4">
        <f>IF($O$23=I267,1,0)</f>
        <v>0</v>
      </c>
      <c r="H267" s="4">
        <f t="shared" si="7"/>
        <v>0</v>
      </c>
      <c r="I267" s="4" t="s">
        <v>378</v>
      </c>
      <c r="J267" s="4"/>
      <c r="K267" s="4"/>
      <c r="L267" s="4"/>
      <c r="M267" s="4"/>
      <c r="N267" s="20"/>
    </row>
    <row r="268" spans="4:14" x14ac:dyDescent="0.25">
      <c r="D268" s="19"/>
      <c r="E268" s="4" t="s">
        <v>237</v>
      </c>
      <c r="F268" s="4">
        <f>IF(OR($M$19&lt;K123,$M$19&gt;L123),1,0)</f>
        <v>0</v>
      </c>
      <c r="G268" s="4">
        <f>IF($O$23=I268,1,0)</f>
        <v>0</v>
      </c>
      <c r="H268" s="4">
        <f t="shared" si="7"/>
        <v>0</v>
      </c>
      <c r="I268" s="4" t="s">
        <v>20</v>
      </c>
      <c r="J268" s="4"/>
      <c r="K268" s="4"/>
      <c r="L268" s="4"/>
      <c r="M268" s="4"/>
      <c r="N268" s="20"/>
    </row>
    <row r="269" spans="4:14" x14ac:dyDescent="0.25">
      <c r="D269" s="19"/>
      <c r="E269" s="4" t="s">
        <v>237</v>
      </c>
      <c r="F269" s="4">
        <f>IF(OR($M$19&lt;K124,$M$19&gt;L124),1,0)</f>
        <v>0</v>
      </c>
      <c r="G269" s="4">
        <f>IF($O$23=I269,1,0)</f>
        <v>1</v>
      </c>
      <c r="H269" s="4">
        <f t="shared" si="7"/>
        <v>0</v>
      </c>
      <c r="I269" s="4" t="s">
        <v>375</v>
      </c>
      <c r="J269" s="4"/>
      <c r="K269" s="4"/>
      <c r="L269" s="4"/>
      <c r="M269" s="4"/>
      <c r="N269" s="20"/>
    </row>
    <row r="270" spans="4:14" x14ac:dyDescent="0.25">
      <c r="D270" s="19"/>
      <c r="E270" s="4" t="s">
        <v>237</v>
      </c>
      <c r="F270" s="4"/>
      <c r="G270" s="4"/>
      <c r="H270" s="4">
        <v>0</v>
      </c>
      <c r="I270" s="4" t="s">
        <v>50</v>
      </c>
      <c r="J270" s="4"/>
      <c r="K270" s="4"/>
      <c r="L270" s="4"/>
      <c r="M270" s="4"/>
      <c r="N270" s="20"/>
    </row>
    <row r="271" spans="4:14" x14ac:dyDescent="0.25">
      <c r="D271" s="19"/>
      <c r="E271" s="4" t="s">
        <v>237</v>
      </c>
      <c r="F271" s="4"/>
      <c r="G271" s="4"/>
      <c r="H271" s="4">
        <f>SUM(H265:H270)</f>
        <v>0</v>
      </c>
      <c r="I271" s="4" t="s">
        <v>242</v>
      </c>
      <c r="J271" s="4"/>
      <c r="K271" s="4"/>
      <c r="L271" s="4"/>
      <c r="M271" s="4"/>
      <c r="N271" s="20"/>
    </row>
    <row r="272" spans="4:14" x14ac:dyDescent="0.25">
      <c r="D272" s="19"/>
      <c r="E272" s="4"/>
      <c r="F272" s="4"/>
      <c r="G272" s="4"/>
      <c r="H272" s="4"/>
      <c r="I272" s="4"/>
      <c r="J272" s="4"/>
      <c r="K272" s="4"/>
      <c r="L272" s="4"/>
      <c r="M272" s="4"/>
      <c r="N272" s="20"/>
    </row>
    <row r="273" spans="4:18" x14ac:dyDescent="0.25">
      <c r="D273" s="19"/>
      <c r="E273" s="4" t="s">
        <v>244</v>
      </c>
      <c r="F273" s="4">
        <f>IF(OR(P19&lt;G250,P19&gt;H250),1,0)</f>
        <v>0</v>
      </c>
      <c r="G273" s="4">
        <f>IF($O$23="Bypass",0,1)</f>
        <v>1</v>
      </c>
      <c r="H273" s="4" t="b">
        <f>AND(F273,G273)</f>
        <v>0</v>
      </c>
      <c r="I273" s="4" t="s">
        <v>246</v>
      </c>
      <c r="J273" s="4"/>
      <c r="K273" s="4"/>
      <c r="L273" s="4"/>
      <c r="M273" s="4"/>
      <c r="N273" s="20"/>
    </row>
    <row r="274" spans="4:18" x14ac:dyDescent="0.25">
      <c r="D274" s="19"/>
      <c r="E274" s="4"/>
      <c r="F274" s="4"/>
      <c r="G274" s="4"/>
      <c r="H274" s="4"/>
      <c r="I274" s="4"/>
      <c r="J274" s="4"/>
      <c r="K274" s="4"/>
      <c r="L274" s="4"/>
      <c r="M274" s="4"/>
      <c r="N274" s="20"/>
    </row>
    <row r="275" spans="4:18" x14ac:dyDescent="0.25">
      <c r="D275" s="19"/>
      <c r="E275" s="4" t="s">
        <v>245</v>
      </c>
      <c r="F275" s="4">
        <f>IF(OR(U18&lt;G251,U18&gt;H251),1,0)</f>
        <v>0</v>
      </c>
      <c r="G275" s="4">
        <f>IF($O$23="Bypass",0,1)</f>
        <v>1</v>
      </c>
      <c r="H275" s="4" t="b">
        <f>AND(F275,G275)</f>
        <v>0</v>
      </c>
      <c r="I275" s="4" t="s">
        <v>451</v>
      </c>
      <c r="J275" s="4"/>
      <c r="K275" s="4"/>
      <c r="L275" s="4"/>
      <c r="M275" s="4"/>
      <c r="N275" s="20"/>
    </row>
    <row r="276" spans="4:18" x14ac:dyDescent="0.25">
      <c r="D276" s="19"/>
      <c r="E276" s="4"/>
      <c r="F276" s="4"/>
      <c r="G276" s="4"/>
      <c r="H276" s="4"/>
      <c r="I276" s="4"/>
      <c r="J276" s="4"/>
      <c r="K276" s="4"/>
      <c r="L276" s="4"/>
      <c r="M276" s="4"/>
      <c r="N276" s="20"/>
    </row>
    <row r="277" spans="4:18" x14ac:dyDescent="0.25">
      <c r="D277" s="19"/>
      <c r="E277" s="4" t="s">
        <v>263</v>
      </c>
      <c r="F277" s="4">
        <f>IF(R49&gt;H243,1,0)</f>
        <v>0</v>
      </c>
      <c r="G277" s="4"/>
      <c r="H277" s="4" t="s">
        <v>452</v>
      </c>
      <c r="I277" s="4"/>
      <c r="J277" s="4"/>
      <c r="K277" s="4"/>
      <c r="L277" s="4"/>
      <c r="M277" s="4"/>
      <c r="N277" s="20"/>
    </row>
    <row r="278" spans="4:18" x14ac:dyDescent="0.25">
      <c r="D278" s="19"/>
      <c r="E278" s="4"/>
      <c r="F278" s="4"/>
      <c r="G278" s="4"/>
      <c r="H278" s="4"/>
      <c r="I278" s="4"/>
      <c r="J278" s="4"/>
      <c r="K278" s="4"/>
      <c r="L278" s="4"/>
      <c r="M278" s="4"/>
      <c r="N278" s="20"/>
    </row>
    <row r="279" spans="4:18" x14ac:dyDescent="0.25">
      <c r="D279" s="19"/>
      <c r="E279" s="4" t="s">
        <v>251</v>
      </c>
      <c r="F279" s="3">
        <f>IF(V28&gt;$H$244,1,0)</f>
        <v>0</v>
      </c>
      <c r="G279" s="4"/>
      <c r="H279" s="4" t="s">
        <v>254</v>
      </c>
      <c r="I279" s="4"/>
      <c r="J279" s="4"/>
      <c r="K279" s="4"/>
      <c r="L279" s="4"/>
      <c r="M279" s="4"/>
      <c r="N279" s="20"/>
    </row>
    <row r="280" spans="4:18" x14ac:dyDescent="0.25">
      <c r="D280" s="19"/>
      <c r="E280" s="4" t="s">
        <v>259</v>
      </c>
      <c r="F280" s="3">
        <f>IF(V31&gt;$H$244,1,0)</f>
        <v>0</v>
      </c>
      <c r="G280" s="4"/>
      <c r="H280" s="4" t="s">
        <v>255</v>
      </c>
      <c r="I280" s="4"/>
      <c r="J280" s="4"/>
      <c r="K280" s="4"/>
      <c r="L280" s="4"/>
      <c r="M280" s="4"/>
      <c r="N280" s="20"/>
    </row>
    <row r="281" spans="4:18" x14ac:dyDescent="0.25">
      <c r="D281" s="19"/>
      <c r="E281" s="4" t="s">
        <v>252</v>
      </c>
      <c r="F281" s="3">
        <f>IF(V34&gt;$H$244,1,0)</f>
        <v>0</v>
      </c>
      <c r="G281" s="4"/>
      <c r="H281" s="4" t="s">
        <v>256</v>
      </c>
      <c r="I281" s="4"/>
      <c r="J281" s="4"/>
      <c r="K281" s="4"/>
      <c r="L281" s="4"/>
      <c r="M281" s="4"/>
      <c r="N281" s="20"/>
    </row>
    <row r="282" spans="4:18" x14ac:dyDescent="0.25">
      <c r="D282" s="19"/>
      <c r="E282" s="4" t="s">
        <v>260</v>
      </c>
      <c r="F282" s="3">
        <f>IF(V37&gt;$H$245,1,0)</f>
        <v>0</v>
      </c>
      <c r="G282" s="4"/>
      <c r="H282" s="4" t="s">
        <v>449</v>
      </c>
      <c r="I282" s="4"/>
      <c r="J282" s="4"/>
      <c r="K282" s="4"/>
      <c r="L282" s="4"/>
      <c r="M282" s="4"/>
      <c r="N282" s="20"/>
    </row>
    <row r="283" spans="4:18" x14ac:dyDescent="0.25">
      <c r="D283" s="19"/>
      <c r="E283" s="4" t="s">
        <v>253</v>
      </c>
      <c r="F283" s="3">
        <f>IF(V40&gt;$H$244,1,0)</f>
        <v>0</v>
      </c>
      <c r="G283" s="4"/>
      <c r="H283" s="4" t="s">
        <v>257</v>
      </c>
      <c r="I283" s="4"/>
      <c r="J283" s="4"/>
      <c r="K283" s="4"/>
      <c r="L283" s="4"/>
      <c r="M283" s="4"/>
      <c r="N283" s="20"/>
      <c r="Q283" s="4"/>
      <c r="R283" s="4"/>
    </row>
    <row r="284" spans="4:18" x14ac:dyDescent="0.25">
      <c r="D284" s="19"/>
      <c r="E284" s="4" t="s">
        <v>261</v>
      </c>
      <c r="F284" s="3">
        <f>IF(V43&gt;$H$246,1,0)</f>
        <v>0</v>
      </c>
      <c r="G284" s="4"/>
      <c r="H284" s="4" t="s">
        <v>450</v>
      </c>
      <c r="I284" s="4"/>
      <c r="J284" s="4"/>
      <c r="K284" s="4"/>
      <c r="L284" s="4"/>
      <c r="M284" s="4"/>
      <c r="N284" s="20"/>
    </row>
    <row r="285" spans="4:18" x14ac:dyDescent="0.25">
      <c r="D285" s="19"/>
      <c r="E285" s="4" t="s">
        <v>262</v>
      </c>
      <c r="F285" s="3">
        <f>IF(V46&gt;$H$244,1,0)</f>
        <v>0</v>
      </c>
      <c r="G285" s="4"/>
      <c r="H285" s="4" t="s">
        <v>258</v>
      </c>
      <c r="I285" s="4"/>
      <c r="J285" s="4"/>
      <c r="K285" s="4"/>
      <c r="L285" s="4"/>
      <c r="M285" s="4"/>
      <c r="N285" s="20"/>
    </row>
    <row r="286" spans="4:18" x14ac:dyDescent="0.25">
      <c r="D286" s="19"/>
      <c r="E286" s="4"/>
      <c r="G286" s="4"/>
      <c r="H286" s="4"/>
      <c r="I286" s="4"/>
      <c r="J286" s="4"/>
      <c r="K286" s="4"/>
      <c r="L286" s="4"/>
      <c r="M286" s="4"/>
      <c r="N286" s="20"/>
    </row>
    <row r="287" spans="4:18" x14ac:dyDescent="0.25">
      <c r="D287" s="19"/>
      <c r="E287" s="4" t="s">
        <v>379</v>
      </c>
      <c r="F287" s="3">
        <f>IF($E$46&lt;32,1,0)</f>
        <v>0</v>
      </c>
      <c r="G287" s="4"/>
      <c r="H287" s="4" t="s">
        <v>380</v>
      </c>
      <c r="I287" s="4"/>
      <c r="J287" s="4"/>
      <c r="K287" s="4"/>
      <c r="L287" s="4"/>
      <c r="M287" s="4"/>
      <c r="N287" s="20"/>
    </row>
    <row r="288" spans="4:18" x14ac:dyDescent="0.25">
      <c r="D288" s="19"/>
      <c r="E288" s="4" t="s">
        <v>379</v>
      </c>
      <c r="F288" s="3">
        <f>IF($E$46&gt;100,1,0)</f>
        <v>0</v>
      </c>
      <c r="G288" s="4"/>
      <c r="H288" s="4" t="s">
        <v>381</v>
      </c>
      <c r="I288" s="4"/>
      <c r="J288" s="4"/>
      <c r="K288" s="4"/>
      <c r="L288" s="4"/>
      <c r="M288" s="4"/>
      <c r="N288" s="20"/>
    </row>
    <row r="289" spans="4:14" x14ac:dyDescent="0.25">
      <c r="D289" s="19"/>
      <c r="E289" s="4" t="s">
        <v>379</v>
      </c>
      <c r="F289" s="3">
        <f>SUM(F287:F288)</f>
        <v>0</v>
      </c>
      <c r="G289" s="4"/>
      <c r="H289" s="4" t="s">
        <v>242</v>
      </c>
      <c r="I289" s="4"/>
      <c r="J289" s="4"/>
      <c r="K289" s="4"/>
      <c r="L289" s="4"/>
      <c r="M289" s="4"/>
      <c r="N289" s="20"/>
    </row>
    <row r="290" spans="4:14" ht="14.4" thickBot="1" x14ac:dyDescent="0.3">
      <c r="D290" s="22"/>
      <c r="E290" s="23"/>
      <c r="F290" s="23"/>
      <c r="G290" s="23"/>
      <c r="H290" s="23"/>
      <c r="I290" s="23"/>
      <c r="J290" s="23"/>
      <c r="K290" s="23"/>
      <c r="L290" s="23"/>
      <c r="M290" s="23"/>
      <c r="N290" s="24"/>
    </row>
  </sheetData>
  <sheetProtection algorithmName="SHA-512" hashValue="c0AIzf4uhKiyFpedm3KDEWshjCE4KQrIb6QivMXGy/J36dqPdoEN2RUJveWHBYs3futR8SNubjxh0LIEucLuwQ==" saltValue="YhNi9G47aHqcSjneXJAaUw==" spinCount="100000" sheet="1" objects="1" scenarios="1"/>
  <protectedRanges>
    <protectedRange sqref="O79:S79" name="Range26"/>
    <protectedRange sqref="I51" name="Range21"/>
    <protectedRange sqref="E46" name="Range20"/>
    <protectedRange sqref="S45" name="Range19"/>
    <protectedRange sqref="S42" name="Range18"/>
    <protectedRange sqref="S39" name="Range17"/>
    <protectedRange sqref="S36" name="Range16"/>
    <protectedRange sqref="S33" name="Range15"/>
    <protectedRange sqref="S30" name="Range14"/>
    <protectedRange sqref="S27" name="Range13"/>
    <protectedRange sqref="O23:Q23" name="Range8"/>
    <protectedRange sqref="E22" name="Range6"/>
    <protectedRange sqref="R16" name="Range5"/>
    <protectedRange sqref="O16" name="Range4"/>
    <protectedRange sqref="L16" name="Range3"/>
    <protectedRange sqref="I10:J10" name="Range1"/>
    <protectedRange sqref="I16" name="Range2"/>
    <protectedRange sqref="E23" name="Range7"/>
    <protectedRange sqref="I30" name="Range9"/>
    <protectedRange sqref="G35" name="Range10"/>
    <protectedRange sqref="M28" name="Range11"/>
    <protectedRange sqref="M35" name="Range12"/>
    <protectedRange sqref="O54" name="Range22"/>
    <protectedRange sqref="Q65" name="Range23"/>
    <protectedRange sqref="Q66" name="Range24"/>
    <protectedRange sqref="M75" name="Range25"/>
  </protectedRanges>
  <mergeCells count="4">
    <mergeCell ref="I10:J10"/>
    <mergeCell ref="O23:Q23"/>
    <mergeCell ref="M28:N28"/>
    <mergeCell ref="O79:S79"/>
  </mergeCells>
  <conditionalFormatting sqref="F25">
    <cfRule type="expression" dxfId="30" priority="18">
      <formula>$F$261</formula>
    </cfRule>
  </conditionalFormatting>
  <conditionalFormatting sqref="E31">
    <cfRule type="expression" dxfId="29" priority="17">
      <formula>$F$263</formula>
    </cfRule>
  </conditionalFormatting>
  <conditionalFormatting sqref="M19">
    <cfRule type="expression" dxfId="28" priority="16">
      <formula>$H$271</formula>
    </cfRule>
  </conditionalFormatting>
  <conditionalFormatting sqref="F273 F275:F278">
    <cfRule type="expression" dxfId="27" priority="19">
      <formula>#REF!</formula>
    </cfRule>
  </conditionalFormatting>
  <conditionalFormatting sqref="P19">
    <cfRule type="expression" dxfId="26" priority="15">
      <formula>$H$273</formula>
    </cfRule>
  </conditionalFormatting>
  <conditionalFormatting sqref="U18">
    <cfRule type="expression" dxfId="25" priority="14">
      <formula>$H$275</formula>
    </cfRule>
  </conditionalFormatting>
  <conditionalFormatting sqref="V28">
    <cfRule type="expression" dxfId="24" priority="13">
      <formula>$F$279</formula>
    </cfRule>
  </conditionalFormatting>
  <conditionalFormatting sqref="V31">
    <cfRule type="expression" dxfId="23" priority="12">
      <formula>$F$280</formula>
    </cfRule>
  </conditionalFormatting>
  <conditionalFormatting sqref="V34">
    <cfRule type="expression" dxfId="22" priority="11">
      <formula>$F$281</formula>
    </cfRule>
  </conditionalFormatting>
  <conditionalFormatting sqref="V37">
    <cfRule type="expression" dxfId="21" priority="10">
      <formula>$F$282</formula>
    </cfRule>
  </conditionalFormatting>
  <conditionalFormatting sqref="V40">
    <cfRule type="expression" dxfId="20" priority="9">
      <formula>$F$283</formula>
    </cfRule>
  </conditionalFormatting>
  <conditionalFormatting sqref="V43">
    <cfRule type="expression" dxfId="19" priority="8">
      <formula>$F$284</formula>
    </cfRule>
  </conditionalFormatting>
  <conditionalFormatting sqref="V46">
    <cfRule type="expression" dxfId="18" priority="7">
      <formula>$F$285</formula>
    </cfRule>
  </conditionalFormatting>
  <conditionalFormatting sqref="R49">
    <cfRule type="expression" dxfId="17" priority="6">
      <formula>$F$277</formula>
    </cfRule>
  </conditionalFormatting>
  <conditionalFormatting sqref="W68">
    <cfRule type="expression" dxfId="16" priority="5">
      <formula>$W$68&gt;$H$247</formula>
    </cfRule>
  </conditionalFormatting>
  <conditionalFormatting sqref="E22">
    <cfRule type="expression" dxfId="15" priority="4">
      <formula>$Q$240</formula>
    </cfRule>
  </conditionalFormatting>
  <conditionalFormatting sqref="E23">
    <cfRule type="expression" dxfId="14" priority="3">
      <formula>$S$241</formula>
    </cfRule>
  </conditionalFormatting>
  <conditionalFormatting sqref="W68">
    <cfRule type="expression" dxfId="13" priority="2">
      <formula>$W$68&gt;$H$247</formula>
    </cfRule>
  </conditionalFormatting>
  <conditionalFormatting sqref="E46">
    <cfRule type="expression" dxfId="12" priority="1">
      <formula>$F$289</formula>
    </cfRule>
  </conditionalFormatting>
  <dataValidations count="14">
    <dataValidation type="list" allowBlank="1" showInputMessage="1" showErrorMessage="1" sqref="O79:S79" xr:uid="{BEFDA29E-51B5-4D1F-BAE6-7C7B243C67EA}">
      <formula1>$O$201:$O$209</formula1>
    </dataValidation>
    <dataValidation type="list" allowBlank="1" showInputMessage="1" showErrorMessage="1" sqref="G35" xr:uid="{FA567506-D189-4BB4-9F47-3BA71C20F094}">
      <formula1>$I$136:$I$137</formula1>
    </dataValidation>
    <dataValidation type="list" allowBlank="1" showInputMessage="1" showErrorMessage="1" sqref="O23" xr:uid="{5EF897A9-4EA7-47F3-A2EF-2F35FF4AAEC2}">
      <formula1>$I$120:$I$125</formula1>
    </dataValidation>
    <dataValidation type="list" allowBlank="1" showInputMessage="1" showErrorMessage="1" sqref="R16" xr:uid="{5EB20889-3026-4BA1-9A1B-D7D712D3F562}">
      <formula1>$I$105:$I$109</formula1>
    </dataValidation>
    <dataValidation type="list" allowBlank="1" showInputMessage="1" showErrorMessage="1" sqref="O16" xr:uid="{8EC3DF2D-F83E-40A9-9F0D-54946BE5D7CD}">
      <formula1>$E$89:$E$216</formula1>
    </dataValidation>
    <dataValidation type="list" allowBlank="1" showInputMessage="1" showErrorMessage="1" sqref="L16" xr:uid="{FD5ABB98-A7ED-4988-96F8-E27B808E0640}">
      <formula1>$I$95:$I$102</formula1>
    </dataValidation>
    <dataValidation type="list" allowBlank="1" showInputMessage="1" showErrorMessage="1" sqref="I16" xr:uid="{3FEEA6EE-B192-4096-A3EA-D12B3AA3B8E8}">
      <formula1>$I$92:$I$93</formula1>
    </dataValidation>
    <dataValidation type="list" allowBlank="1" showInputMessage="1" showErrorMessage="1" sqref="I30" xr:uid="{B3F783AA-4E5B-4630-AD07-3C1D1C0B88B8}">
      <formula1>$I$88:$I$90</formula1>
    </dataValidation>
    <dataValidation type="list" allowBlank="1" showInputMessage="1" showErrorMessage="1" sqref="I10" xr:uid="{27FDBDE9-F816-42C4-B6CB-1383EC46D06B}">
      <formula1>$O$118:$O$125</formula1>
    </dataValidation>
    <dataValidation type="list" allowBlank="1" showInputMessage="1" showErrorMessage="1" sqref="M35" xr:uid="{56A33A38-DEEC-4500-BCE3-787884487C9C}">
      <formula1>$I$127:$I$128</formula1>
    </dataValidation>
    <dataValidation type="list" allowBlank="1" showInputMessage="1" showErrorMessage="1" sqref="M28" xr:uid="{3AFF61D2-F8AA-400E-9B1B-08609873F198}">
      <formula1>$I$130:$I$131</formula1>
    </dataValidation>
    <dataValidation type="list" allowBlank="1" showInputMessage="1" showErrorMessage="1" sqref="I51" xr:uid="{BC64F1A1-2364-4438-BB57-180948D24833}">
      <formula1>$I$133:$I$134</formula1>
    </dataValidation>
    <dataValidation type="list" allowBlank="1" showInputMessage="1" showErrorMessage="1" sqref="O54" xr:uid="{16ADEFE6-F707-4C80-9F56-199E072BFA1D}">
      <formula1>$I$112:$I$117</formula1>
    </dataValidation>
    <dataValidation type="list" allowBlank="1" showInputMessage="1" showErrorMessage="1" sqref="S27 S30 S33 S36 S39 S42 S45" xr:uid="{BF064410-D958-49B9-95EE-4921C5FE932E}">
      <formula1>$D$89:$D$216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B312"/>
  <sheetViews>
    <sheetView workbookViewId="0">
      <selection activeCell="C6" sqref="C6"/>
    </sheetView>
  </sheetViews>
  <sheetFormatPr defaultRowHeight="13.8" x14ac:dyDescent="0.25"/>
  <cols>
    <col min="1" max="1" width="4.6640625" style="3" customWidth="1"/>
    <col min="2" max="2" width="4.77734375" style="3" customWidth="1"/>
    <col min="3" max="3" width="4.88671875" style="3" customWidth="1"/>
    <col min="4" max="4" width="8.33203125" style="3" customWidth="1"/>
    <col min="5" max="5" width="5.77734375" style="3" customWidth="1"/>
    <col min="6" max="6" width="8.5546875" style="3" customWidth="1"/>
    <col min="7" max="7" width="8.77734375" style="3" customWidth="1"/>
    <col min="8" max="9" width="10.77734375" style="3" customWidth="1"/>
    <col min="10" max="10" width="9.21875" style="3" customWidth="1"/>
    <col min="11" max="11" width="10.77734375" style="3" customWidth="1"/>
    <col min="12" max="12" width="6.88671875" style="3" customWidth="1"/>
    <col min="13" max="13" width="7.44140625" style="3" customWidth="1"/>
    <col min="14" max="14" width="10.77734375" style="3" customWidth="1"/>
    <col min="15" max="15" width="9.6640625" style="3" customWidth="1"/>
    <col min="16" max="16" width="5.77734375" style="3" customWidth="1"/>
    <col min="17" max="17" width="10.77734375" style="3" customWidth="1"/>
    <col min="18" max="18" width="8.109375" style="3" customWidth="1"/>
    <col min="19" max="19" width="5.77734375" style="3" customWidth="1"/>
    <col min="20" max="20" width="7.21875" style="3" customWidth="1"/>
    <col min="21" max="22" width="6.77734375" style="3" customWidth="1"/>
    <col min="23" max="16384" width="8.88671875" style="3"/>
  </cols>
  <sheetData>
    <row r="2" spans="5:16" ht="28.2" x14ac:dyDescent="0.5">
      <c r="G2" s="10" t="s">
        <v>384</v>
      </c>
    </row>
    <row r="6" spans="5:16" x14ac:dyDescent="0.25">
      <c r="E6" s="3" t="s">
        <v>185</v>
      </c>
    </row>
    <row r="9" spans="5:16" x14ac:dyDescent="0.25">
      <c r="P9" s="12" t="s">
        <v>200</v>
      </c>
    </row>
    <row r="10" spans="5:16" x14ac:dyDescent="0.25">
      <c r="H10" s="2" t="s">
        <v>184</v>
      </c>
      <c r="I10" s="46" t="s">
        <v>177</v>
      </c>
      <c r="J10" s="47"/>
      <c r="P10" s="12" t="s">
        <v>385</v>
      </c>
    </row>
    <row r="11" spans="5:16" x14ac:dyDescent="0.25">
      <c r="F11" s="2">
        <v>8</v>
      </c>
      <c r="G11" s="3" t="s">
        <v>22</v>
      </c>
      <c r="P11" s="12" t="s">
        <v>202</v>
      </c>
    </row>
    <row r="12" spans="5:16" x14ac:dyDescent="0.25">
      <c r="K12" s="2">
        <f>F11/R124</f>
        <v>4</v>
      </c>
      <c r="L12" s="3" t="s">
        <v>22</v>
      </c>
      <c r="P12" s="12" t="s">
        <v>383</v>
      </c>
    </row>
    <row r="13" spans="5:16" x14ac:dyDescent="0.25">
      <c r="H13" s="8"/>
      <c r="L13" s="7"/>
    </row>
    <row r="14" spans="5:16" x14ac:dyDescent="0.25">
      <c r="K14" s="37">
        <f>8/16</f>
        <v>0.5</v>
      </c>
      <c r="L14" s="6" t="s">
        <v>22</v>
      </c>
    </row>
    <row r="17" spans="4:23" x14ac:dyDescent="0.25">
      <c r="H17" s="2" t="s">
        <v>386</v>
      </c>
      <c r="I17" s="38" t="str">
        <f>O56</f>
        <v>FRCPLL</v>
      </c>
      <c r="K17" s="3" t="s">
        <v>25</v>
      </c>
      <c r="L17" s="14" t="s">
        <v>4</v>
      </c>
      <c r="N17" s="2" t="s">
        <v>387</v>
      </c>
      <c r="O17" s="14" t="s">
        <v>68</v>
      </c>
      <c r="Q17" s="2" t="s">
        <v>27</v>
      </c>
      <c r="R17" s="14" t="s">
        <v>4</v>
      </c>
    </row>
    <row r="19" spans="4:23" x14ac:dyDescent="0.25">
      <c r="U19" s="6">
        <f>P20/J123</f>
        <v>40</v>
      </c>
      <c r="V19" s="3" t="s">
        <v>22</v>
      </c>
    </row>
    <row r="20" spans="4:23" x14ac:dyDescent="0.25">
      <c r="J20" s="4">
        <f>IF($I$17="FRCPLL", 8, IF($I$17="PRIPLL",$F$25,0))</f>
        <v>8</v>
      </c>
      <c r="M20" s="4">
        <f>J20/J102</f>
        <v>4</v>
      </c>
      <c r="P20" s="6">
        <f>M20*J113</f>
        <v>80</v>
      </c>
    </row>
    <row r="22" spans="4:23" x14ac:dyDescent="0.25">
      <c r="D22" s="2" t="s">
        <v>371</v>
      </c>
      <c r="E22" s="13">
        <v>12</v>
      </c>
      <c r="F22" s="3" t="s">
        <v>22</v>
      </c>
    </row>
    <row r="23" spans="4:23" x14ac:dyDescent="0.25">
      <c r="D23" s="2" t="s">
        <v>372</v>
      </c>
      <c r="E23" s="14">
        <v>10</v>
      </c>
      <c r="F23" s="3" t="s">
        <v>22</v>
      </c>
    </row>
    <row r="25" spans="4:23" x14ac:dyDescent="0.25">
      <c r="E25" s="2" t="s">
        <v>44</v>
      </c>
      <c r="F25" s="5">
        <f>K92</f>
        <v>12</v>
      </c>
      <c r="G25" s="3" t="str">
        <f>F23</f>
        <v>MHz</v>
      </c>
    </row>
    <row r="26" spans="4:23" x14ac:dyDescent="0.25">
      <c r="E26" s="2" t="s">
        <v>45</v>
      </c>
    </row>
    <row r="27" spans="4:23" x14ac:dyDescent="0.25">
      <c r="R27" s="39"/>
      <c r="S27" s="40"/>
      <c r="T27" s="38"/>
    </row>
    <row r="28" spans="4:23" x14ac:dyDescent="0.25">
      <c r="K28" s="2">
        <v>8</v>
      </c>
      <c r="L28" s="2"/>
      <c r="M28" s="40"/>
      <c r="N28" s="40"/>
      <c r="R28" s="38"/>
      <c r="S28" s="38"/>
      <c r="T28" s="38"/>
    </row>
    <row r="29" spans="4:23" x14ac:dyDescent="0.25">
      <c r="R29" s="38"/>
      <c r="S29" s="38"/>
    </row>
    <row r="30" spans="4:23" x14ac:dyDescent="0.25">
      <c r="E30" s="2" t="s">
        <v>46</v>
      </c>
      <c r="H30" s="2" t="s">
        <v>23</v>
      </c>
      <c r="I30" s="1" t="s">
        <v>29</v>
      </c>
      <c r="R30" s="39"/>
      <c r="S30" s="40"/>
      <c r="T30" s="38"/>
    </row>
    <row r="31" spans="4:23" x14ac:dyDescent="0.25">
      <c r="E31" s="2" t="s">
        <v>47</v>
      </c>
      <c r="R31" s="38"/>
      <c r="S31" s="38"/>
      <c r="T31" s="38"/>
      <c r="V31" s="4">
        <f>IF($T$34=$O$152, $R$32, 8)</f>
        <v>48</v>
      </c>
      <c r="W31" s="3" t="s">
        <v>22</v>
      </c>
    </row>
    <row r="32" spans="4:23" x14ac:dyDescent="0.25">
      <c r="E32" s="2"/>
      <c r="R32" s="29">
        <f>IF($R$35="ON", $Q$33, $K$33)</f>
        <v>48</v>
      </c>
    </row>
    <row r="33" spans="4:23" x14ac:dyDescent="0.25">
      <c r="E33" s="2"/>
      <c r="I33" s="30"/>
      <c r="K33" s="3">
        <f>F25</f>
        <v>12</v>
      </c>
      <c r="M33" s="3">
        <f>K33/J143</f>
        <v>4</v>
      </c>
      <c r="O33" s="3">
        <f>M33*24</f>
        <v>96</v>
      </c>
      <c r="Q33" s="41">
        <f>O33/2</f>
        <v>48</v>
      </c>
      <c r="S33" s="40"/>
      <c r="T33" s="38"/>
    </row>
    <row r="34" spans="4:23" x14ac:dyDescent="0.25">
      <c r="E34" s="2"/>
      <c r="R34" s="38"/>
      <c r="S34" s="2" t="s">
        <v>388</v>
      </c>
      <c r="T34" s="46" t="s">
        <v>389</v>
      </c>
      <c r="U34" s="48"/>
      <c r="V34" s="48"/>
      <c r="W34" s="47"/>
    </row>
    <row r="35" spans="4:23" x14ac:dyDescent="0.25">
      <c r="E35" s="2"/>
      <c r="F35" s="2" t="s">
        <v>194</v>
      </c>
      <c r="G35" s="14" t="s">
        <v>0</v>
      </c>
      <c r="L35" s="2" t="s">
        <v>390</v>
      </c>
      <c r="M35" s="14" t="s">
        <v>33</v>
      </c>
      <c r="Q35" s="2" t="s">
        <v>391</v>
      </c>
      <c r="R35" s="14" t="s">
        <v>0</v>
      </c>
      <c r="S35" s="38"/>
      <c r="T35" s="38"/>
    </row>
    <row r="36" spans="4:23" x14ac:dyDescent="0.25">
      <c r="E36" s="2"/>
      <c r="R36" s="39"/>
      <c r="S36" s="40"/>
      <c r="T36" s="38"/>
    </row>
    <row r="37" spans="4:23" x14ac:dyDescent="0.25">
      <c r="E37" s="2"/>
      <c r="R37" s="38"/>
      <c r="S37" s="38"/>
      <c r="T37" s="38"/>
    </row>
    <row r="38" spans="4:23" x14ac:dyDescent="0.25">
      <c r="E38" s="2"/>
      <c r="G38" s="8"/>
      <c r="R38" s="38"/>
      <c r="S38" s="38"/>
      <c r="T38" s="38"/>
    </row>
    <row r="39" spans="4:23" x14ac:dyDescent="0.25">
      <c r="E39" s="2"/>
      <c r="R39" s="39"/>
      <c r="S39" s="40"/>
      <c r="T39" s="38"/>
    </row>
    <row r="40" spans="4:23" x14ac:dyDescent="0.25">
      <c r="E40" s="2"/>
      <c r="M40" s="3">
        <f>U19</f>
        <v>40</v>
      </c>
      <c r="N40" s="3" t="s">
        <v>22</v>
      </c>
      <c r="R40" s="38"/>
      <c r="S40" s="38"/>
      <c r="T40" s="38"/>
    </row>
    <row r="41" spans="4:23" x14ac:dyDescent="0.25">
      <c r="R41" s="38"/>
      <c r="S41" s="38"/>
      <c r="T41" s="38"/>
    </row>
    <row r="42" spans="4:23" x14ac:dyDescent="0.25">
      <c r="E42" s="2"/>
      <c r="G42" s="42">
        <v>31.25</v>
      </c>
      <c r="H42" s="8" t="s">
        <v>48</v>
      </c>
      <c r="M42" s="3">
        <f>F25</f>
        <v>12</v>
      </c>
      <c r="N42" s="3" t="s">
        <v>22</v>
      </c>
      <c r="R42" s="39"/>
      <c r="S42" s="40"/>
      <c r="T42" s="38"/>
    </row>
    <row r="43" spans="4:23" x14ac:dyDescent="0.25">
      <c r="E43" s="2"/>
      <c r="R43" s="38"/>
      <c r="S43" s="38"/>
      <c r="T43" s="38"/>
    </row>
    <row r="44" spans="4:23" x14ac:dyDescent="0.25">
      <c r="E44" s="2"/>
      <c r="M44" s="3">
        <v>8</v>
      </c>
      <c r="N44" s="3" t="s">
        <v>22</v>
      </c>
    </row>
    <row r="45" spans="4:23" x14ac:dyDescent="0.25">
      <c r="E45" s="2"/>
      <c r="P45" s="2" t="s">
        <v>392</v>
      </c>
      <c r="Q45" s="15" t="s">
        <v>4</v>
      </c>
    </row>
    <row r="46" spans="4:23" x14ac:dyDescent="0.25">
      <c r="D46" s="2" t="s">
        <v>372</v>
      </c>
      <c r="E46" s="14">
        <v>32.768000000000001</v>
      </c>
      <c r="F46" s="3" t="s">
        <v>48</v>
      </c>
      <c r="G46" s="3">
        <f>IF($I$51="ON", $E$46, 0)</f>
        <v>32.768000000000001</v>
      </c>
      <c r="H46" s="3" t="s">
        <v>48</v>
      </c>
      <c r="M46" s="37">
        <v>0.5</v>
      </c>
      <c r="N46" s="3" t="s">
        <v>22</v>
      </c>
      <c r="S46" s="43">
        <f>$R$49/J158</f>
        <v>20</v>
      </c>
      <c r="T46" s="3" t="s">
        <v>22</v>
      </c>
    </row>
    <row r="47" spans="4:23" x14ac:dyDescent="0.25">
      <c r="E47" s="2" t="s">
        <v>192</v>
      </c>
    </row>
    <row r="48" spans="4:23" x14ac:dyDescent="0.25">
      <c r="E48" s="2"/>
      <c r="M48" s="3">
        <f>K12</f>
        <v>4</v>
      </c>
      <c r="N48" s="3" t="s">
        <v>22</v>
      </c>
    </row>
    <row r="49" spans="5:28" x14ac:dyDescent="0.25">
      <c r="E49" s="2"/>
      <c r="R49" s="3">
        <f>K133</f>
        <v>40</v>
      </c>
      <c r="S49" s="3" t="s">
        <v>22</v>
      </c>
    </row>
    <row r="50" spans="5:28" x14ac:dyDescent="0.25">
      <c r="E50" s="2"/>
      <c r="M50" s="30">
        <f>G42</f>
        <v>31.25</v>
      </c>
      <c r="N50" s="3" t="s">
        <v>48</v>
      </c>
    </row>
    <row r="51" spans="5:28" x14ac:dyDescent="0.25">
      <c r="H51" s="2" t="s">
        <v>193</v>
      </c>
      <c r="I51" s="14" t="s">
        <v>0</v>
      </c>
    </row>
    <row r="52" spans="5:28" x14ac:dyDescent="0.25">
      <c r="E52" s="2" t="s">
        <v>191</v>
      </c>
      <c r="M52" s="9">
        <f>$G$46</f>
        <v>32.768000000000001</v>
      </c>
      <c r="N52" s="3" t="s">
        <v>48</v>
      </c>
    </row>
    <row r="53" spans="5:28" x14ac:dyDescent="0.25">
      <c r="E53" s="2"/>
    </row>
    <row r="55" spans="5:28" x14ac:dyDescent="0.25">
      <c r="S55" s="6"/>
      <c r="U55" s="4"/>
    </row>
    <row r="56" spans="5:28" ht="15.6" x14ac:dyDescent="0.3">
      <c r="H56" s="11"/>
      <c r="N56" s="2" t="s">
        <v>41</v>
      </c>
      <c r="O56" s="14" t="s">
        <v>393</v>
      </c>
      <c r="U56" s="6"/>
    </row>
    <row r="57" spans="5:28" x14ac:dyDescent="0.25">
      <c r="U57" s="6"/>
    </row>
    <row r="59" spans="5:28" x14ac:dyDescent="0.25">
      <c r="M59" s="3">
        <v>8</v>
      </c>
      <c r="N59" s="3" t="s">
        <v>22</v>
      </c>
    </row>
    <row r="60" spans="5:28" x14ac:dyDescent="0.25">
      <c r="AB60" s="4"/>
    </row>
    <row r="61" spans="5:28" x14ac:dyDescent="0.25">
      <c r="G61" s="2" t="s">
        <v>13</v>
      </c>
      <c r="M61" s="3">
        <f>$P$20</f>
        <v>80</v>
      </c>
      <c r="N61" s="3" t="s">
        <v>22</v>
      </c>
      <c r="T61" s="2"/>
      <c r="AB61" s="4"/>
    </row>
    <row r="62" spans="5:28" x14ac:dyDescent="0.25">
      <c r="G62" s="2" t="s">
        <v>8</v>
      </c>
      <c r="H62" s="3" t="str">
        <f>O56</f>
        <v>FRCPLL</v>
      </c>
      <c r="AB62" s="4"/>
    </row>
    <row r="63" spans="5:28" x14ac:dyDescent="0.25">
      <c r="G63" s="2" t="s">
        <v>9</v>
      </c>
      <c r="H63" s="3" t="str">
        <f>I51</f>
        <v>ON</v>
      </c>
      <c r="M63" s="3">
        <f>$F$25</f>
        <v>12</v>
      </c>
      <c r="N63" s="3" t="s">
        <v>22</v>
      </c>
      <c r="AB63" s="4"/>
    </row>
    <row r="64" spans="5:28" x14ac:dyDescent="0.25">
      <c r="G64" s="2" t="s">
        <v>10</v>
      </c>
      <c r="H64" s="3" t="str">
        <f>I30</f>
        <v>EC</v>
      </c>
      <c r="AB64" s="4"/>
    </row>
    <row r="65" spans="5:28" x14ac:dyDescent="0.25">
      <c r="G65" s="2" t="s">
        <v>11</v>
      </c>
      <c r="H65" s="3" t="str">
        <f>G35</f>
        <v>ON</v>
      </c>
      <c r="M65" s="43">
        <f>$O$33</f>
        <v>96</v>
      </c>
      <c r="N65" s="3" t="s">
        <v>48</v>
      </c>
      <c r="P65" s="5" t="s">
        <v>364</v>
      </c>
      <c r="Q65" s="15">
        <v>255</v>
      </c>
      <c r="AB65" s="4"/>
    </row>
    <row r="66" spans="5:28" x14ac:dyDescent="0.25">
      <c r="G66" s="2" t="s">
        <v>394</v>
      </c>
      <c r="H66" s="3" t="str">
        <f>$Q$45</f>
        <v>DIV_2</v>
      </c>
      <c r="P66" s="5" t="s">
        <v>365</v>
      </c>
      <c r="Q66" s="15">
        <v>9</v>
      </c>
      <c r="R66" s="36"/>
      <c r="AB66" s="4"/>
    </row>
    <row r="67" spans="5:28" x14ac:dyDescent="0.25">
      <c r="G67" s="2"/>
      <c r="M67" s="30">
        <f>$G$42</f>
        <v>31.25</v>
      </c>
      <c r="N67" s="3" t="s">
        <v>48</v>
      </c>
      <c r="AB67" s="4"/>
    </row>
    <row r="68" spans="5:28" x14ac:dyDescent="0.25">
      <c r="G68" s="2" t="s">
        <v>14</v>
      </c>
      <c r="W68" s="34">
        <f>IF($Q$66=0, $O$69, ($O$69/(2*$T$220)))</f>
        <v>0.42113921447666047</v>
      </c>
      <c r="X68" s="3" t="s">
        <v>22</v>
      </c>
      <c r="AB68" s="4"/>
    </row>
    <row r="69" spans="5:28" x14ac:dyDescent="0.25">
      <c r="G69" s="2" t="s">
        <v>18</v>
      </c>
      <c r="H69" s="3" t="str">
        <f>L17</f>
        <v>DIV_2</v>
      </c>
      <c r="M69" s="43">
        <f>$G$46</f>
        <v>32.768000000000001</v>
      </c>
      <c r="N69" s="3" t="s">
        <v>22</v>
      </c>
      <c r="O69" s="3">
        <f>$U$199</f>
        <v>8</v>
      </c>
      <c r="Q69" s="9"/>
    </row>
    <row r="70" spans="5:28" x14ac:dyDescent="0.25">
      <c r="G70" s="2" t="s">
        <v>395</v>
      </c>
      <c r="H70" s="3" t="str">
        <f>O17</f>
        <v>MUL_20</v>
      </c>
    </row>
    <row r="71" spans="5:28" x14ac:dyDescent="0.25">
      <c r="G71" s="2" t="s">
        <v>12</v>
      </c>
      <c r="H71" s="3" t="str">
        <f>R17</f>
        <v>DIV_2</v>
      </c>
      <c r="M71" s="3">
        <f>$S$46</f>
        <v>20</v>
      </c>
      <c r="N71" s="3" t="s">
        <v>22</v>
      </c>
    </row>
    <row r="72" spans="5:28" x14ac:dyDescent="0.25">
      <c r="G72" s="2" t="s">
        <v>396</v>
      </c>
      <c r="H72" s="3" t="str">
        <f>M35</f>
        <v>DIV_3</v>
      </c>
    </row>
    <row r="73" spans="5:28" x14ac:dyDescent="0.25">
      <c r="G73" s="2" t="s">
        <v>188</v>
      </c>
      <c r="H73" s="3" t="str">
        <f>R35</f>
        <v>ON</v>
      </c>
      <c r="M73" s="3">
        <f>$R$49</f>
        <v>40</v>
      </c>
      <c r="N73" s="3" t="s">
        <v>22</v>
      </c>
    </row>
    <row r="74" spans="5:28" x14ac:dyDescent="0.25">
      <c r="E74" s="2"/>
    </row>
    <row r="75" spans="5:28" x14ac:dyDescent="0.25">
      <c r="E75" s="2"/>
      <c r="M75" s="14">
        <v>2</v>
      </c>
      <c r="N75" s="3" t="s">
        <v>22</v>
      </c>
    </row>
    <row r="76" spans="5:28" x14ac:dyDescent="0.25">
      <c r="E76" s="2"/>
      <c r="M76" s="9"/>
    </row>
    <row r="77" spans="5:28" x14ac:dyDescent="0.25">
      <c r="E77" s="2"/>
    </row>
    <row r="78" spans="5:28" x14ac:dyDescent="0.25">
      <c r="E78" s="2"/>
    </row>
    <row r="79" spans="5:28" x14ac:dyDescent="0.25">
      <c r="E79" s="2"/>
      <c r="N79" s="32" t="s">
        <v>366</v>
      </c>
      <c r="O79" s="49" t="s">
        <v>336</v>
      </c>
      <c r="P79" s="51"/>
      <c r="Q79" s="51"/>
      <c r="R79" s="51"/>
      <c r="S79" s="50"/>
    </row>
    <row r="80" spans="5:28" x14ac:dyDescent="0.25">
      <c r="E80" s="2"/>
    </row>
    <row r="81" spans="2:14" x14ac:dyDescent="0.25">
      <c r="E81" s="2"/>
    </row>
    <row r="82" spans="2:14" x14ac:dyDescent="0.25">
      <c r="E82" s="2"/>
    </row>
    <row r="83" spans="2:14" x14ac:dyDescent="0.25">
      <c r="E83" s="2"/>
    </row>
    <row r="84" spans="2:14" ht="14.4" thickBot="1" x14ac:dyDescent="0.3">
      <c r="B84" s="4"/>
      <c r="C84" s="4"/>
      <c r="D84" s="4"/>
      <c r="E84" s="5"/>
      <c r="F84" s="4"/>
    </row>
    <row r="85" spans="2:14" x14ac:dyDescent="0.25">
      <c r="B85" s="4"/>
      <c r="C85" s="4"/>
      <c r="D85" s="4"/>
      <c r="E85" s="4"/>
      <c r="F85" s="4"/>
      <c r="G85" s="16"/>
      <c r="H85" s="17" t="s">
        <v>247</v>
      </c>
      <c r="I85" s="17"/>
      <c r="J85" s="17"/>
      <c r="K85" s="17"/>
      <c r="L85" s="18"/>
    </row>
    <row r="86" spans="2:14" x14ac:dyDescent="0.25">
      <c r="B86" s="4"/>
      <c r="C86" s="4"/>
      <c r="D86" s="4"/>
      <c r="E86" s="4"/>
      <c r="F86" s="4"/>
      <c r="G86" s="25"/>
      <c r="H86" s="26"/>
      <c r="I86" s="26"/>
      <c r="J86" s="26"/>
      <c r="K86" s="26"/>
      <c r="L86" s="27"/>
    </row>
    <row r="87" spans="2:14" ht="14.4" thickBot="1" x14ac:dyDescent="0.3">
      <c r="B87" s="4"/>
      <c r="C87" s="4"/>
      <c r="D87" s="4"/>
      <c r="E87" s="4"/>
      <c r="F87" s="4"/>
      <c r="G87" s="22"/>
      <c r="H87" s="23" t="s">
        <v>248</v>
      </c>
      <c r="I87" s="23" t="s">
        <v>249</v>
      </c>
      <c r="J87" s="23"/>
      <c r="K87" s="23"/>
      <c r="L87" s="24"/>
    </row>
    <row r="88" spans="2:14" x14ac:dyDescent="0.25">
      <c r="B88" s="4"/>
      <c r="C88" s="4"/>
      <c r="D88" s="4"/>
      <c r="E88" s="4"/>
      <c r="F88" s="4"/>
      <c r="G88" s="16"/>
      <c r="H88" s="5" t="s">
        <v>23</v>
      </c>
      <c r="I88" s="4" t="s">
        <v>29</v>
      </c>
      <c r="J88" s="4">
        <f>IF($I$30="EC", 1, 0)</f>
        <v>1</v>
      </c>
      <c r="K88" s="4">
        <f>IF($I$30="EC", $E$22, 0)</f>
        <v>12</v>
      </c>
      <c r="L88" s="20"/>
      <c r="N88" s="8" t="s">
        <v>374</v>
      </c>
    </row>
    <row r="89" spans="2:14" x14ac:dyDescent="0.25">
      <c r="B89" s="4"/>
      <c r="C89" s="4"/>
      <c r="D89" s="4"/>
      <c r="E89" s="4"/>
      <c r="F89" s="4"/>
      <c r="G89" s="19"/>
      <c r="H89" s="5"/>
      <c r="I89" s="4" t="s">
        <v>397</v>
      </c>
      <c r="J89" s="4">
        <f>IF($I$30="XT", 1, 0)</f>
        <v>0</v>
      </c>
      <c r="K89" s="4">
        <f>IF($I$30="XT", $E$23, 0)</f>
        <v>0</v>
      </c>
      <c r="L89" s="20"/>
      <c r="N89" s="8" t="s">
        <v>197</v>
      </c>
    </row>
    <row r="90" spans="2:14" x14ac:dyDescent="0.25">
      <c r="B90" s="4"/>
      <c r="C90" s="4"/>
      <c r="D90" s="4"/>
      <c r="E90" s="4"/>
      <c r="F90" s="4"/>
      <c r="G90" s="19"/>
      <c r="H90" s="5"/>
      <c r="I90" s="4" t="s">
        <v>30</v>
      </c>
      <c r="J90" s="4">
        <f>IF($I$30="HS", 1, 0)</f>
        <v>0</v>
      </c>
      <c r="K90" s="4">
        <f>IF($I$30="HS", $E$23, 0)</f>
        <v>0</v>
      </c>
      <c r="L90" s="20"/>
      <c r="N90" s="8" t="s">
        <v>439</v>
      </c>
    </row>
    <row r="91" spans="2:14" x14ac:dyDescent="0.25">
      <c r="B91" s="4"/>
      <c r="C91" s="4"/>
      <c r="D91" s="4"/>
      <c r="E91" s="4"/>
      <c r="F91" s="4"/>
      <c r="G91" s="19"/>
      <c r="H91" s="5"/>
      <c r="I91" s="4" t="s">
        <v>7</v>
      </c>
      <c r="J91" s="4">
        <f>IF($I$30="OFF", 1, 0)</f>
        <v>0</v>
      </c>
      <c r="K91" s="4">
        <v>0</v>
      </c>
      <c r="L91" s="20"/>
      <c r="N91" s="3" t="s">
        <v>324</v>
      </c>
    </row>
    <row r="92" spans="2:14" x14ac:dyDescent="0.25">
      <c r="B92" s="4"/>
      <c r="C92" s="4"/>
      <c r="D92" s="4"/>
      <c r="E92" s="4"/>
      <c r="F92" s="4"/>
      <c r="G92" s="19"/>
      <c r="H92" s="4"/>
      <c r="I92" s="4"/>
      <c r="J92" s="4"/>
      <c r="K92" s="4">
        <f>SUM(K88:K91)</f>
        <v>12</v>
      </c>
      <c r="L92" s="20"/>
      <c r="N92" s="3" t="s">
        <v>325</v>
      </c>
    </row>
    <row r="93" spans="2:14" x14ac:dyDescent="0.25">
      <c r="B93" s="4"/>
      <c r="C93" s="4"/>
      <c r="D93" s="4"/>
      <c r="E93" s="4"/>
      <c r="F93" s="4"/>
      <c r="G93" s="19"/>
      <c r="H93" s="5"/>
      <c r="I93" s="4"/>
      <c r="J93" s="4"/>
      <c r="K93" s="4"/>
      <c r="L93" s="20"/>
      <c r="N93" s="3" t="s">
        <v>326</v>
      </c>
    </row>
    <row r="94" spans="2:14" x14ac:dyDescent="0.25">
      <c r="B94" s="4"/>
      <c r="C94" s="4"/>
      <c r="D94" s="4"/>
      <c r="E94" s="4"/>
      <c r="F94" s="4"/>
      <c r="G94" s="19"/>
      <c r="H94" s="5" t="s">
        <v>25</v>
      </c>
      <c r="I94" s="4" t="s">
        <v>32</v>
      </c>
      <c r="J94" s="4">
        <f>IF($L$17="DIV_1", 1, 0)</f>
        <v>0</v>
      </c>
      <c r="K94" s="4"/>
      <c r="L94" s="20"/>
      <c r="N94" s="3" t="s">
        <v>329</v>
      </c>
    </row>
    <row r="95" spans="2:14" x14ac:dyDescent="0.25">
      <c r="B95" s="4"/>
      <c r="C95" s="4"/>
      <c r="D95" s="4"/>
      <c r="E95" s="4"/>
      <c r="F95" s="4"/>
      <c r="G95" s="19"/>
      <c r="H95" s="5"/>
      <c r="I95" s="4" t="s">
        <v>4</v>
      </c>
      <c r="J95" s="4">
        <f>IF($L$17="DIV_2", 2, 0)</f>
        <v>2</v>
      </c>
      <c r="K95" s="4"/>
      <c r="L95" s="20"/>
      <c r="N95" s="3" t="s">
        <v>323</v>
      </c>
    </row>
    <row r="96" spans="2:14" x14ac:dyDescent="0.25">
      <c r="B96" s="4"/>
      <c r="C96" s="4"/>
      <c r="D96" s="4"/>
      <c r="E96" s="4"/>
      <c r="F96" s="4"/>
      <c r="G96" s="19"/>
      <c r="H96" s="5"/>
      <c r="I96" s="4" t="s">
        <v>33</v>
      </c>
      <c r="J96" s="4">
        <f>IF($L$17="DIV_3", 3, 0)</f>
        <v>0</v>
      </c>
      <c r="K96" s="4"/>
      <c r="L96" s="20"/>
      <c r="N96" s="3" t="s">
        <v>398</v>
      </c>
    </row>
    <row r="97" spans="2:23" x14ac:dyDescent="0.25">
      <c r="B97" s="4"/>
      <c r="C97" s="4"/>
      <c r="D97" s="4"/>
      <c r="E97" s="4"/>
      <c r="F97" s="4"/>
      <c r="G97" s="19"/>
      <c r="H97" s="5"/>
      <c r="I97" s="4" t="s">
        <v>34</v>
      </c>
      <c r="J97" s="4">
        <f>IF($L$17="DIV_4", 4, 0)</f>
        <v>0</v>
      </c>
      <c r="K97" s="4"/>
      <c r="L97" s="20"/>
      <c r="N97" s="3" t="s">
        <v>321</v>
      </c>
    </row>
    <row r="98" spans="2:23" x14ac:dyDescent="0.25">
      <c r="B98" s="4"/>
      <c r="C98" s="4"/>
      <c r="D98" s="4"/>
      <c r="E98" s="4"/>
      <c r="F98" s="4"/>
      <c r="G98" s="19"/>
      <c r="H98" s="5"/>
      <c r="I98" s="4" t="s">
        <v>35</v>
      </c>
      <c r="J98" s="4">
        <f>IF($L$17="DIV_5", 5, 0)</f>
        <v>0</v>
      </c>
      <c r="K98" s="4"/>
      <c r="L98" s="20"/>
      <c r="N98" s="3" t="s">
        <v>322</v>
      </c>
    </row>
    <row r="99" spans="2:23" x14ac:dyDescent="0.25">
      <c r="B99" s="4"/>
      <c r="C99" s="4"/>
      <c r="D99" s="4"/>
      <c r="E99" s="4"/>
      <c r="F99" s="4"/>
      <c r="G99" s="19"/>
      <c r="H99" s="5"/>
      <c r="I99" s="4" t="s">
        <v>36</v>
      </c>
      <c r="J99" s="4">
        <f>IF($L$17="DIV_6", 6, 0)</f>
        <v>0</v>
      </c>
      <c r="K99" s="4"/>
      <c r="L99" s="20"/>
    </row>
    <row r="100" spans="2:23" x14ac:dyDescent="0.25">
      <c r="B100" s="4"/>
      <c r="C100" s="4"/>
      <c r="D100" s="4"/>
      <c r="E100" s="4"/>
      <c r="F100" s="4"/>
      <c r="G100" s="19"/>
      <c r="H100" s="5"/>
      <c r="I100" s="4" t="s">
        <v>399</v>
      </c>
      <c r="J100" s="4">
        <f>IF($L$17="DIV_10", 10, 0)</f>
        <v>0</v>
      </c>
      <c r="K100" s="4"/>
      <c r="L100" s="20"/>
      <c r="N100" s="3" t="s">
        <v>330</v>
      </c>
    </row>
    <row r="101" spans="2:23" x14ac:dyDescent="0.25">
      <c r="B101" s="4"/>
      <c r="C101" s="4"/>
      <c r="D101" s="4"/>
      <c r="E101" s="4"/>
      <c r="F101" s="4"/>
      <c r="G101" s="19"/>
      <c r="H101" s="5"/>
      <c r="I101" s="4" t="s">
        <v>400</v>
      </c>
      <c r="J101" s="4">
        <f>IF($L$17="DIV_12", 12, 0)</f>
        <v>0</v>
      </c>
      <c r="K101" s="4"/>
      <c r="L101" s="20"/>
      <c r="N101" s="3" t="s">
        <v>340</v>
      </c>
    </row>
    <row r="102" spans="2:23" x14ac:dyDescent="0.25">
      <c r="B102" s="4"/>
      <c r="C102" s="4"/>
      <c r="D102" s="4"/>
      <c r="E102" s="4"/>
      <c r="F102" s="4"/>
      <c r="G102" s="19"/>
      <c r="H102" s="5"/>
      <c r="I102" s="4"/>
      <c r="J102" s="4">
        <f>SUM(J94:J101)</f>
        <v>2</v>
      </c>
      <c r="K102" s="4"/>
      <c r="L102" s="20"/>
      <c r="N102" s="3" t="s">
        <v>341</v>
      </c>
    </row>
    <row r="103" spans="2:23" x14ac:dyDescent="0.25">
      <c r="B103" s="4"/>
      <c r="C103" s="4"/>
      <c r="D103" s="4"/>
      <c r="E103" s="4"/>
      <c r="F103" s="4"/>
      <c r="G103" s="19"/>
      <c r="H103" s="4"/>
      <c r="I103" s="4"/>
      <c r="J103" s="4"/>
      <c r="K103" s="4"/>
      <c r="L103" s="20"/>
      <c r="N103" s="3" t="s">
        <v>342</v>
      </c>
    </row>
    <row r="104" spans="2:23" x14ac:dyDescent="0.25">
      <c r="B104" s="4"/>
      <c r="C104" s="4"/>
      <c r="D104" s="4"/>
      <c r="E104" s="4"/>
      <c r="F104" s="4"/>
      <c r="G104" s="19"/>
      <c r="H104" s="5" t="s">
        <v>387</v>
      </c>
      <c r="I104" s="4"/>
      <c r="J104" s="4"/>
      <c r="K104" s="4"/>
      <c r="L104" s="20"/>
      <c r="N104" s="3" t="s">
        <v>360</v>
      </c>
    </row>
    <row r="105" spans="2:23" x14ac:dyDescent="0.25">
      <c r="B105" s="4"/>
      <c r="C105" s="4"/>
      <c r="D105" s="4"/>
      <c r="E105" s="4"/>
      <c r="F105" s="4"/>
      <c r="G105" s="19"/>
      <c r="H105" s="4"/>
      <c r="I105" s="4" t="s">
        <v>63</v>
      </c>
      <c r="J105" s="4">
        <f>IF($O$17=I105, 15, 0)</f>
        <v>0</v>
      </c>
      <c r="K105" s="4"/>
      <c r="L105" s="20"/>
      <c r="N105" s="3" t="s">
        <v>362</v>
      </c>
    </row>
    <row r="106" spans="2:23" x14ac:dyDescent="0.25">
      <c r="B106" s="4"/>
      <c r="C106" s="4"/>
      <c r="D106" s="4"/>
      <c r="E106" s="4"/>
      <c r="F106" s="4"/>
      <c r="G106" s="19"/>
      <c r="H106" s="4"/>
      <c r="I106" s="4" t="s">
        <v>64</v>
      </c>
      <c r="J106" s="4">
        <f>IF($O$17=I106, 16, 0)</f>
        <v>0</v>
      </c>
      <c r="K106" s="4"/>
      <c r="L106" s="20"/>
      <c r="N106" s="3" t="s">
        <v>363</v>
      </c>
    </row>
    <row r="107" spans="2:23" x14ac:dyDescent="0.25">
      <c r="B107" s="4"/>
      <c r="C107" s="4"/>
      <c r="D107" s="4"/>
      <c r="E107" s="4"/>
      <c r="F107" s="4"/>
      <c r="G107" s="19"/>
      <c r="H107" s="4"/>
      <c r="I107" s="4" t="s">
        <v>65</v>
      </c>
      <c r="J107" s="4">
        <f>IF($O$17=I107, 17, 0)</f>
        <v>0</v>
      </c>
      <c r="K107" s="4"/>
      <c r="L107" s="20"/>
    </row>
    <row r="108" spans="2:23" x14ac:dyDescent="0.25">
      <c r="B108" s="4"/>
      <c r="C108" s="4"/>
      <c r="D108" s="4"/>
      <c r="E108" s="4"/>
      <c r="F108" s="4"/>
      <c r="G108" s="19"/>
      <c r="H108" s="4"/>
      <c r="I108" s="4" t="s">
        <v>66</v>
      </c>
      <c r="J108" s="4">
        <f>IF($O$17=I108, 18, 0)</f>
        <v>0</v>
      </c>
      <c r="K108" s="4"/>
      <c r="L108" s="20"/>
    </row>
    <row r="109" spans="2:23" x14ac:dyDescent="0.25">
      <c r="B109" s="4"/>
      <c r="C109" s="4"/>
      <c r="D109" s="4"/>
      <c r="E109" s="4"/>
      <c r="F109" s="4"/>
      <c r="G109" s="19"/>
      <c r="H109" s="4"/>
      <c r="I109" s="4" t="s">
        <v>67</v>
      </c>
      <c r="J109" s="4">
        <f>IF($O$17=I109, 19, 0)</f>
        <v>0</v>
      </c>
      <c r="K109" s="4"/>
      <c r="L109" s="20"/>
    </row>
    <row r="110" spans="2:23" x14ac:dyDescent="0.25">
      <c r="B110" s="4"/>
      <c r="C110" s="4"/>
      <c r="D110" s="4"/>
      <c r="E110" s="4"/>
      <c r="F110" s="4"/>
      <c r="G110" s="19"/>
      <c r="H110" s="4"/>
      <c r="I110" s="4" t="s">
        <v>68</v>
      </c>
      <c r="J110" s="4">
        <f>IF($O$17=I110, 20, 0)</f>
        <v>20</v>
      </c>
      <c r="K110" s="4"/>
      <c r="L110" s="20"/>
    </row>
    <row r="111" spans="2:23" ht="14.4" thickBot="1" x14ac:dyDescent="0.3">
      <c r="B111" s="4"/>
      <c r="C111" s="4"/>
      <c r="D111" s="4"/>
      <c r="E111" s="4"/>
      <c r="F111" s="4"/>
      <c r="G111" s="19"/>
      <c r="H111" s="4"/>
      <c r="I111" s="4" t="s">
        <v>69</v>
      </c>
      <c r="J111" s="4">
        <f>IF($O$17=I111, 21, 0)</f>
        <v>0</v>
      </c>
      <c r="K111" s="4"/>
      <c r="L111" s="20"/>
    </row>
    <row r="112" spans="2:23" x14ac:dyDescent="0.25">
      <c r="B112" s="4"/>
      <c r="C112" s="4"/>
      <c r="D112" s="4"/>
      <c r="E112" s="4"/>
      <c r="F112" s="4"/>
      <c r="G112" s="19"/>
      <c r="H112" s="4"/>
      <c r="I112" s="4" t="s">
        <v>72</v>
      </c>
      <c r="J112" s="4">
        <f>IF($O$17=I112, 24, 0)</f>
        <v>0</v>
      </c>
      <c r="K112" s="4"/>
      <c r="L112" s="20"/>
      <c r="N112" s="16"/>
      <c r="O112" s="17" t="s">
        <v>264</v>
      </c>
      <c r="P112" s="17"/>
      <c r="Q112" s="17"/>
      <c r="R112" s="17"/>
      <c r="S112" s="17"/>
      <c r="T112" s="17"/>
      <c r="U112" s="17"/>
      <c r="V112" s="17"/>
      <c r="W112" s="18"/>
    </row>
    <row r="113" spans="2:23" x14ac:dyDescent="0.25">
      <c r="B113" s="4"/>
      <c r="C113" s="4"/>
      <c r="D113" s="4"/>
      <c r="E113" s="4"/>
      <c r="F113" s="4"/>
      <c r="G113" s="19"/>
      <c r="H113" s="4"/>
      <c r="I113" s="4"/>
      <c r="J113" s="4">
        <f>SUM(J105:J112)</f>
        <v>20</v>
      </c>
      <c r="K113" s="4"/>
      <c r="L113" s="20"/>
      <c r="N113" s="19"/>
      <c r="O113" s="4"/>
      <c r="P113" s="4"/>
      <c r="Q113" s="4"/>
      <c r="R113" s="4"/>
      <c r="S113" s="4"/>
      <c r="T113" s="4"/>
      <c r="U113" s="4"/>
      <c r="V113" s="4"/>
      <c r="W113" s="20"/>
    </row>
    <row r="114" spans="2:23" ht="14.4" thickBot="1" x14ac:dyDescent="0.3">
      <c r="B114" s="4"/>
      <c r="C114" s="4"/>
      <c r="D114" s="4"/>
      <c r="E114" s="4"/>
      <c r="F114" s="4"/>
      <c r="G114" s="19"/>
      <c r="H114" s="4"/>
      <c r="I114" s="4"/>
      <c r="J114" s="4"/>
      <c r="K114" s="4"/>
      <c r="L114" s="20"/>
      <c r="N114" s="19"/>
      <c r="O114" s="4"/>
      <c r="P114" s="4"/>
      <c r="Q114" s="4"/>
      <c r="R114" s="4"/>
      <c r="S114" s="4"/>
      <c r="T114" s="4"/>
      <c r="U114" s="4"/>
      <c r="V114" s="4"/>
      <c r="W114" s="20"/>
    </row>
    <row r="115" spans="2:23" x14ac:dyDescent="0.25">
      <c r="B115" s="4"/>
      <c r="C115" s="4"/>
      <c r="D115" s="4"/>
      <c r="E115" s="4"/>
      <c r="F115" s="4"/>
      <c r="G115" s="19"/>
      <c r="H115" s="5" t="s">
        <v>27</v>
      </c>
      <c r="I115" s="4" t="s">
        <v>32</v>
      </c>
      <c r="J115" s="4">
        <f>IF($R$17="DIV_1", 1, 0)</f>
        <v>0</v>
      </c>
      <c r="K115" s="4"/>
      <c r="L115" s="20"/>
      <c r="N115" s="31" t="s">
        <v>265</v>
      </c>
      <c r="O115" s="17"/>
      <c r="P115" s="17"/>
      <c r="Q115" s="17"/>
      <c r="R115" s="17"/>
      <c r="S115" s="17"/>
      <c r="T115" s="17"/>
      <c r="U115" s="17"/>
      <c r="V115" s="17"/>
      <c r="W115" s="18"/>
    </row>
    <row r="116" spans="2:23" x14ac:dyDescent="0.25">
      <c r="B116" s="4"/>
      <c r="C116" s="4"/>
      <c r="D116" s="4"/>
      <c r="E116" s="4"/>
      <c r="F116" s="4"/>
      <c r="G116" s="19"/>
      <c r="H116" s="4"/>
      <c r="I116" s="4" t="s">
        <v>4</v>
      </c>
      <c r="J116" s="4">
        <f>IF($R$17="DIV_2", 2, 0)</f>
        <v>2</v>
      </c>
      <c r="K116" s="4"/>
      <c r="L116" s="20"/>
      <c r="N116" s="19">
        <v>1</v>
      </c>
      <c r="O116" s="4" t="s">
        <v>176</v>
      </c>
      <c r="P116" s="4"/>
      <c r="Q116" s="4"/>
      <c r="R116" s="4">
        <f t="shared" ref="R116:R123" si="0">IF($I$10=$O116, N116, 0)</f>
        <v>0</v>
      </c>
      <c r="S116" s="4"/>
      <c r="T116" s="4"/>
      <c r="U116" s="4"/>
      <c r="V116" s="4"/>
      <c r="W116" s="20"/>
    </row>
    <row r="117" spans="2:23" x14ac:dyDescent="0.25">
      <c r="B117" s="4"/>
      <c r="C117" s="4"/>
      <c r="D117" s="4"/>
      <c r="E117" s="4"/>
      <c r="F117" s="4"/>
      <c r="G117" s="19"/>
      <c r="H117" s="4"/>
      <c r="I117" s="4" t="s">
        <v>34</v>
      </c>
      <c r="J117" s="4">
        <f>IF($R$17="DIV_4", 4, 0)</f>
        <v>0</v>
      </c>
      <c r="K117" s="4"/>
      <c r="L117" s="20"/>
      <c r="N117" s="19">
        <v>2</v>
      </c>
      <c r="O117" s="4" t="s">
        <v>177</v>
      </c>
      <c r="P117" s="4"/>
      <c r="Q117" s="4"/>
      <c r="R117" s="4">
        <f t="shared" si="0"/>
        <v>2</v>
      </c>
      <c r="S117" s="4"/>
      <c r="T117" s="4"/>
      <c r="U117" s="4"/>
      <c r="V117" s="4"/>
      <c r="W117" s="20"/>
    </row>
    <row r="118" spans="2:23" x14ac:dyDescent="0.25">
      <c r="B118" s="4"/>
      <c r="C118" s="4"/>
      <c r="D118" s="4"/>
      <c r="E118" s="4"/>
      <c r="F118" s="4"/>
      <c r="G118" s="19"/>
      <c r="H118" s="4"/>
      <c r="I118" s="4" t="s">
        <v>1</v>
      </c>
      <c r="J118" s="4">
        <f>IF($R$17="DIV_8", 8, 0)</f>
        <v>0</v>
      </c>
      <c r="L118" s="20"/>
      <c r="N118" s="19">
        <v>4</v>
      </c>
      <c r="O118" s="4" t="s">
        <v>178</v>
      </c>
      <c r="P118" s="4"/>
      <c r="Q118" s="4"/>
      <c r="R118" s="4">
        <f t="shared" si="0"/>
        <v>0</v>
      </c>
      <c r="S118" s="4"/>
      <c r="T118" s="4"/>
      <c r="U118" s="4"/>
      <c r="V118" s="4"/>
      <c r="W118" s="20"/>
    </row>
    <row r="119" spans="2:23" x14ac:dyDescent="0.25">
      <c r="B119" s="4"/>
      <c r="C119" s="4"/>
      <c r="D119" s="4"/>
      <c r="E119" s="4"/>
      <c r="F119" s="4"/>
      <c r="G119" s="19"/>
      <c r="H119" s="4"/>
      <c r="I119" s="4" t="s">
        <v>40</v>
      </c>
      <c r="J119" s="4">
        <f>IF($R$17="DIV_16", 16, 0)</f>
        <v>0</v>
      </c>
      <c r="L119" s="20"/>
      <c r="N119" s="19">
        <v>8</v>
      </c>
      <c r="O119" s="4" t="s">
        <v>179</v>
      </c>
      <c r="P119" s="4"/>
      <c r="Q119" s="4"/>
      <c r="R119" s="4">
        <f t="shared" si="0"/>
        <v>0</v>
      </c>
      <c r="S119" s="4"/>
      <c r="T119" s="4"/>
      <c r="U119" s="4"/>
      <c r="V119" s="4"/>
      <c r="W119" s="20"/>
    </row>
    <row r="120" spans="2:23" x14ac:dyDescent="0.25">
      <c r="B120" s="4"/>
      <c r="C120" s="4"/>
      <c r="D120" s="4"/>
      <c r="E120" s="4"/>
      <c r="F120" s="4"/>
      <c r="G120" s="19"/>
      <c r="H120" s="4"/>
      <c r="I120" s="4" t="s">
        <v>19</v>
      </c>
      <c r="J120" s="4">
        <f>IF($R$17="DIV_32", 32, 0)</f>
        <v>0</v>
      </c>
      <c r="L120" s="20"/>
      <c r="N120" s="19">
        <v>16</v>
      </c>
      <c r="O120" s="4" t="s">
        <v>180</v>
      </c>
      <c r="P120" s="4"/>
      <c r="Q120" s="4"/>
      <c r="R120" s="4">
        <f t="shared" si="0"/>
        <v>0</v>
      </c>
      <c r="S120" s="4"/>
      <c r="T120" s="4"/>
      <c r="U120" s="4"/>
      <c r="V120" s="4"/>
      <c r="W120" s="20"/>
    </row>
    <row r="121" spans="2:23" x14ac:dyDescent="0.25">
      <c r="B121" s="4"/>
      <c r="C121" s="4"/>
      <c r="D121" s="4"/>
      <c r="E121" s="4"/>
      <c r="F121" s="4"/>
      <c r="G121" s="19"/>
      <c r="H121" s="4"/>
      <c r="I121" s="4" t="s">
        <v>401</v>
      </c>
      <c r="J121" s="4">
        <f>IF($R$17="DIV_64", 64, 0)</f>
        <v>0</v>
      </c>
      <c r="L121" s="20"/>
      <c r="N121" s="19">
        <v>32</v>
      </c>
      <c r="O121" s="4" t="s">
        <v>181</v>
      </c>
      <c r="P121" s="4"/>
      <c r="Q121" s="4"/>
      <c r="R121" s="4">
        <f t="shared" si="0"/>
        <v>0</v>
      </c>
      <c r="S121" s="4"/>
      <c r="T121" s="4"/>
      <c r="U121" s="4"/>
      <c r="V121" s="4"/>
      <c r="W121" s="20"/>
    </row>
    <row r="122" spans="2:23" x14ac:dyDescent="0.25">
      <c r="B122" s="4"/>
      <c r="C122" s="4"/>
      <c r="D122" s="4"/>
      <c r="E122" s="4"/>
      <c r="F122" s="4"/>
      <c r="G122" s="19"/>
      <c r="H122" s="4"/>
      <c r="I122" s="4" t="s">
        <v>402</v>
      </c>
      <c r="J122" s="4">
        <f>IF($R$17="DIV_256", 256, 0)</f>
        <v>0</v>
      </c>
      <c r="L122" s="20"/>
      <c r="N122" s="19">
        <v>64</v>
      </c>
      <c r="O122" s="4" t="s">
        <v>182</v>
      </c>
      <c r="P122" s="4"/>
      <c r="Q122" s="4"/>
      <c r="R122" s="4">
        <f t="shared" si="0"/>
        <v>0</v>
      </c>
      <c r="S122" s="4"/>
      <c r="T122" s="4"/>
      <c r="U122" s="4"/>
      <c r="V122" s="4"/>
      <c r="W122" s="20"/>
    </row>
    <row r="123" spans="2:23" x14ac:dyDescent="0.25">
      <c r="B123" s="4"/>
      <c r="C123" s="4"/>
      <c r="D123" s="4"/>
      <c r="E123" s="4"/>
      <c r="F123" s="4"/>
      <c r="G123" s="19"/>
      <c r="H123" s="4"/>
      <c r="I123" s="4"/>
      <c r="J123" s="4">
        <f>SUM(J115:J122)</f>
        <v>2</v>
      </c>
      <c r="L123" s="20"/>
      <c r="N123" s="19">
        <v>256</v>
      </c>
      <c r="O123" s="4" t="s">
        <v>183</v>
      </c>
      <c r="P123" s="4"/>
      <c r="Q123" s="4"/>
      <c r="R123" s="4">
        <f t="shared" si="0"/>
        <v>0</v>
      </c>
      <c r="S123" s="4"/>
      <c r="T123" s="4"/>
      <c r="U123" s="4"/>
      <c r="V123" s="4"/>
      <c r="W123" s="20"/>
    </row>
    <row r="124" spans="2:23" x14ac:dyDescent="0.25">
      <c r="B124" s="4"/>
      <c r="C124" s="4"/>
      <c r="D124" s="4"/>
      <c r="E124" s="4"/>
      <c r="F124" s="4"/>
      <c r="G124" s="19"/>
      <c r="H124" s="4"/>
      <c r="I124" s="4"/>
      <c r="J124" s="4"/>
      <c r="L124" s="20"/>
      <c r="N124" s="19"/>
      <c r="O124" s="4"/>
      <c r="P124" s="4"/>
      <c r="Q124" s="4"/>
      <c r="R124" s="4">
        <f>SUM(R116:R123)</f>
        <v>2</v>
      </c>
      <c r="S124" s="4"/>
      <c r="T124" s="4"/>
      <c r="U124" s="4"/>
      <c r="V124" s="4"/>
      <c r="W124" s="20"/>
    </row>
    <row r="125" spans="2:23" x14ac:dyDescent="0.25">
      <c r="B125" s="4"/>
      <c r="C125" s="4"/>
      <c r="D125" s="4"/>
      <c r="E125" s="4"/>
      <c r="F125" s="4"/>
      <c r="G125" s="19"/>
      <c r="H125" s="5" t="s">
        <v>41</v>
      </c>
      <c r="I125" s="4" t="s">
        <v>403</v>
      </c>
      <c r="J125" s="4">
        <v>8</v>
      </c>
      <c r="K125" s="4">
        <f t="shared" ref="K125:K132" si="1">IF($O$56=I125, J125, 0)</f>
        <v>0</v>
      </c>
      <c r="L125" s="20"/>
      <c r="N125" s="19" t="s">
        <v>317</v>
      </c>
      <c r="O125" s="4"/>
      <c r="P125" s="4"/>
      <c r="Q125" s="4"/>
      <c r="R125" s="4"/>
      <c r="S125" s="4"/>
      <c r="T125" s="4"/>
      <c r="U125" s="4"/>
      <c r="V125" s="4"/>
      <c r="W125" s="20"/>
    </row>
    <row r="126" spans="2:23" x14ac:dyDescent="0.25">
      <c r="B126" s="4"/>
      <c r="C126" s="4"/>
      <c r="D126" s="4"/>
      <c r="E126" s="4"/>
      <c r="F126" s="4"/>
      <c r="G126" s="19"/>
      <c r="H126" s="4"/>
      <c r="I126" s="4" t="s">
        <v>393</v>
      </c>
      <c r="J126" s="4">
        <f>$U$19</f>
        <v>40</v>
      </c>
      <c r="K126" s="4">
        <f t="shared" si="1"/>
        <v>40</v>
      </c>
      <c r="L126" s="20"/>
      <c r="N126" s="19"/>
      <c r="O126" s="4">
        <v>1</v>
      </c>
      <c r="P126" s="4"/>
      <c r="Q126" s="4"/>
      <c r="R126" s="4"/>
      <c r="S126" s="4"/>
      <c r="T126" s="4"/>
      <c r="U126" s="4"/>
      <c r="V126" s="4"/>
      <c r="W126" s="20"/>
    </row>
    <row r="127" spans="2:23" x14ac:dyDescent="0.25">
      <c r="B127" s="4"/>
      <c r="C127" s="4"/>
      <c r="D127" s="4"/>
      <c r="E127" s="4"/>
      <c r="F127" s="4"/>
      <c r="G127" s="19"/>
      <c r="H127" s="4"/>
      <c r="I127" s="4" t="s">
        <v>404</v>
      </c>
      <c r="J127" s="4">
        <f>$F$25</f>
        <v>12</v>
      </c>
      <c r="K127" s="4">
        <f t="shared" si="1"/>
        <v>0</v>
      </c>
      <c r="L127" s="20"/>
      <c r="N127" s="19"/>
      <c r="O127" s="4">
        <v>2</v>
      </c>
      <c r="P127" s="4"/>
      <c r="Q127" s="4"/>
      <c r="R127" s="4"/>
      <c r="S127" s="4"/>
      <c r="T127" s="4"/>
      <c r="U127" s="4"/>
      <c r="V127" s="4"/>
      <c r="W127" s="20"/>
    </row>
    <row r="128" spans="2:23" x14ac:dyDescent="0.25">
      <c r="B128" s="4"/>
      <c r="C128" s="4"/>
      <c r="D128" s="4"/>
      <c r="E128" s="4"/>
      <c r="F128" s="4"/>
      <c r="G128" s="19"/>
      <c r="H128" s="4"/>
      <c r="I128" s="4" t="s">
        <v>405</v>
      </c>
      <c r="J128" s="4">
        <f>$U$19</f>
        <v>40</v>
      </c>
      <c r="K128" s="4">
        <f t="shared" si="1"/>
        <v>0</v>
      </c>
      <c r="L128" s="20"/>
      <c r="N128" s="19"/>
      <c r="O128" s="5" t="s">
        <v>306</v>
      </c>
      <c r="P128" s="4"/>
      <c r="Q128" s="4"/>
      <c r="R128" s="4"/>
      <c r="S128" s="4"/>
      <c r="T128" s="4"/>
      <c r="U128" s="4"/>
      <c r="V128" s="4"/>
      <c r="W128" s="20"/>
    </row>
    <row r="129" spans="2:23" x14ac:dyDescent="0.25">
      <c r="B129" s="4"/>
      <c r="C129" s="4"/>
      <c r="D129" s="4"/>
      <c r="E129" s="4"/>
      <c r="F129" s="4"/>
      <c r="G129" s="19"/>
      <c r="H129" s="4"/>
      <c r="I129" s="4" t="s">
        <v>42</v>
      </c>
      <c r="J129" s="28">
        <f>$G$46 * 0.001</f>
        <v>3.2767999999999999E-2</v>
      </c>
      <c r="K129" s="4">
        <f t="shared" si="1"/>
        <v>0</v>
      </c>
      <c r="L129" s="20"/>
      <c r="N129" s="19"/>
      <c r="O129" s="4">
        <v>64</v>
      </c>
      <c r="P129" s="4"/>
      <c r="Q129" s="4"/>
      <c r="R129" s="4"/>
      <c r="S129" s="4"/>
      <c r="T129" s="4"/>
      <c r="U129" s="4"/>
      <c r="V129" s="4"/>
      <c r="W129" s="20"/>
    </row>
    <row r="130" spans="2:23" x14ac:dyDescent="0.25">
      <c r="B130" s="4"/>
      <c r="C130" s="4"/>
      <c r="D130" s="4"/>
      <c r="E130" s="4"/>
      <c r="F130" s="4"/>
      <c r="G130" s="19"/>
      <c r="H130" s="4"/>
      <c r="I130" s="4" t="s">
        <v>43</v>
      </c>
      <c r="J130" s="28">
        <f>$G$42 * 0.001</f>
        <v>3.125E-2</v>
      </c>
      <c r="K130" s="4">
        <f t="shared" si="1"/>
        <v>0</v>
      </c>
      <c r="L130" s="20"/>
      <c r="N130" s="19"/>
      <c r="O130" s="4"/>
      <c r="P130" s="4"/>
      <c r="Q130" s="4"/>
      <c r="R130" s="4"/>
      <c r="S130" s="4"/>
      <c r="T130" s="4"/>
      <c r="U130" s="4"/>
      <c r="V130" s="4"/>
      <c r="W130" s="20"/>
    </row>
    <row r="131" spans="2:23" x14ac:dyDescent="0.25">
      <c r="B131" s="4"/>
      <c r="C131" s="4"/>
      <c r="D131" s="4"/>
      <c r="E131" s="4"/>
      <c r="F131" s="4"/>
      <c r="G131" s="19"/>
      <c r="H131" s="4"/>
      <c r="I131" s="4" t="s">
        <v>406</v>
      </c>
      <c r="J131" s="44">
        <v>0.5</v>
      </c>
      <c r="K131" s="4">
        <f t="shared" si="1"/>
        <v>0</v>
      </c>
      <c r="L131" s="20"/>
      <c r="N131" s="19" t="s">
        <v>316</v>
      </c>
      <c r="O131" s="4"/>
      <c r="P131" s="4"/>
      <c r="Q131" s="4"/>
      <c r="R131" s="4"/>
      <c r="S131" s="4"/>
      <c r="T131" s="4"/>
      <c r="U131" s="4"/>
      <c r="V131" s="4"/>
      <c r="W131" s="20"/>
    </row>
    <row r="132" spans="2:23" x14ac:dyDescent="0.25">
      <c r="B132" s="4"/>
      <c r="C132" s="4"/>
      <c r="D132" s="4"/>
      <c r="E132" s="4"/>
      <c r="F132" s="4"/>
      <c r="G132" s="19"/>
      <c r="H132" s="4"/>
      <c r="I132" s="4" t="s">
        <v>6</v>
      </c>
      <c r="J132" s="45">
        <f>$K$12</f>
        <v>4</v>
      </c>
      <c r="K132" s="4">
        <f t="shared" si="1"/>
        <v>0</v>
      </c>
      <c r="L132" s="20"/>
      <c r="N132" s="19"/>
      <c r="O132" s="4">
        <v>1</v>
      </c>
      <c r="P132" s="4"/>
      <c r="Q132" s="4"/>
      <c r="R132" s="4"/>
      <c r="S132" s="4"/>
      <c r="T132" s="4"/>
      <c r="U132" s="4"/>
      <c r="V132" s="4"/>
      <c r="W132" s="20"/>
    </row>
    <row r="133" spans="2:23" x14ac:dyDescent="0.25">
      <c r="B133" s="4"/>
      <c r="C133" s="4"/>
      <c r="D133" s="4"/>
      <c r="E133" s="4"/>
      <c r="F133" s="4"/>
      <c r="G133" s="19"/>
      <c r="H133" s="4"/>
      <c r="I133" s="4"/>
      <c r="J133" s="4"/>
      <c r="K133" s="4">
        <f>SUM(K125:K132)</f>
        <v>40</v>
      </c>
      <c r="L133" s="20"/>
      <c r="N133" s="19"/>
      <c r="O133" s="4">
        <v>2</v>
      </c>
      <c r="P133" s="4"/>
      <c r="Q133" s="4"/>
      <c r="R133" s="4"/>
      <c r="S133" s="4"/>
      <c r="T133" s="4"/>
      <c r="U133" s="4"/>
      <c r="V133" s="4"/>
      <c r="W133" s="20"/>
    </row>
    <row r="134" spans="2:23" x14ac:dyDescent="0.25">
      <c r="B134" s="4"/>
      <c r="C134" s="4"/>
      <c r="D134" s="4"/>
      <c r="E134" s="4"/>
      <c r="F134" s="4"/>
      <c r="G134" s="19"/>
      <c r="L134" s="20"/>
      <c r="N134" s="19"/>
      <c r="O134" s="5">
        <v>4</v>
      </c>
      <c r="P134" s="4"/>
      <c r="Q134" s="4"/>
      <c r="R134" s="4"/>
      <c r="S134" s="4"/>
      <c r="T134" s="4"/>
      <c r="U134" s="4"/>
      <c r="V134" s="4"/>
      <c r="W134" s="20"/>
    </row>
    <row r="135" spans="2:23" x14ac:dyDescent="0.25">
      <c r="B135" s="4"/>
      <c r="C135" s="4"/>
      <c r="D135" s="4"/>
      <c r="E135" s="4"/>
      <c r="F135" s="4"/>
      <c r="G135" s="19"/>
      <c r="H135" s="3" t="s">
        <v>407</v>
      </c>
      <c r="I135" s="4" t="s">
        <v>32</v>
      </c>
      <c r="J135" s="4">
        <f>IF($M$35="DIV_1", 1, 0)</f>
        <v>0</v>
      </c>
      <c r="L135" s="20"/>
      <c r="N135" s="19"/>
      <c r="O135" s="4">
        <v>8</v>
      </c>
      <c r="P135" s="4"/>
      <c r="Q135" s="4"/>
      <c r="R135" s="4"/>
      <c r="S135" s="4"/>
      <c r="T135" s="4"/>
      <c r="U135" s="4"/>
      <c r="V135" s="4"/>
      <c r="W135" s="20"/>
    </row>
    <row r="136" spans="2:23" x14ac:dyDescent="0.25">
      <c r="B136" s="4"/>
      <c r="C136" s="4"/>
      <c r="D136" s="4"/>
      <c r="E136" s="4"/>
      <c r="F136" s="4"/>
      <c r="G136" s="19"/>
      <c r="I136" s="4" t="s">
        <v>4</v>
      </c>
      <c r="J136" s="4">
        <f>IF($M$35="DIV_2",2, 0)</f>
        <v>0</v>
      </c>
      <c r="L136" s="20"/>
      <c r="N136" s="19"/>
      <c r="O136" s="4"/>
      <c r="P136" s="4"/>
      <c r="Q136" s="4"/>
      <c r="R136" s="4"/>
      <c r="S136" s="4"/>
      <c r="T136" s="4"/>
      <c r="U136" s="4"/>
      <c r="V136" s="4"/>
      <c r="W136" s="20"/>
    </row>
    <row r="137" spans="2:23" x14ac:dyDescent="0.25">
      <c r="B137" s="4"/>
      <c r="C137" s="4"/>
      <c r="D137" s="4"/>
      <c r="E137" s="4"/>
      <c r="F137" s="4"/>
      <c r="G137" s="19"/>
      <c r="I137" s="4" t="s">
        <v>33</v>
      </c>
      <c r="J137" s="4">
        <f>IF($M$35="DIV_3", 3, 0)</f>
        <v>3</v>
      </c>
      <c r="L137" s="20"/>
      <c r="N137" s="19" t="s">
        <v>267</v>
      </c>
      <c r="O137" s="4"/>
      <c r="P137" s="4"/>
      <c r="Q137" s="4"/>
      <c r="R137" s="4"/>
      <c r="S137" s="4"/>
      <c r="T137" s="4"/>
      <c r="U137" s="4"/>
      <c r="V137" s="4"/>
      <c r="W137" s="20"/>
    </row>
    <row r="138" spans="2:23" x14ac:dyDescent="0.25">
      <c r="B138" s="4"/>
      <c r="C138" s="4"/>
      <c r="D138" s="4"/>
      <c r="E138" s="4"/>
      <c r="F138" s="4"/>
      <c r="G138" s="19"/>
      <c r="I138" s="4" t="s">
        <v>34</v>
      </c>
      <c r="J138" s="4">
        <f>IF($M$35="DIV_4", 4, 0)</f>
        <v>0</v>
      </c>
      <c r="L138" s="20"/>
      <c r="N138" s="19"/>
      <c r="O138" s="4" t="s">
        <v>278</v>
      </c>
      <c r="P138" s="4"/>
      <c r="Q138" s="4"/>
      <c r="R138" s="4"/>
      <c r="S138" s="4"/>
      <c r="T138" s="4"/>
      <c r="U138" s="4"/>
      <c r="V138" s="4"/>
      <c r="W138" s="20"/>
    </row>
    <row r="139" spans="2:23" x14ac:dyDescent="0.25">
      <c r="B139" s="4"/>
      <c r="C139" s="4"/>
      <c r="D139" s="4"/>
      <c r="E139" s="4"/>
      <c r="F139" s="4"/>
      <c r="G139" s="19"/>
      <c r="I139" s="4" t="s">
        <v>35</v>
      </c>
      <c r="J139" s="4">
        <f>IF($M$35="DIV_5", 5, 0)</f>
        <v>0</v>
      </c>
      <c r="L139" s="20"/>
      <c r="N139" s="19"/>
      <c r="O139" s="4" t="s">
        <v>279</v>
      </c>
      <c r="P139" s="4"/>
      <c r="Q139" s="4"/>
      <c r="R139" s="4"/>
      <c r="S139" s="4"/>
      <c r="T139" s="4"/>
      <c r="U139" s="4"/>
      <c r="V139" s="4"/>
      <c r="W139" s="20"/>
    </row>
    <row r="140" spans="2:23" x14ac:dyDescent="0.25">
      <c r="B140" s="4"/>
      <c r="C140" s="4"/>
      <c r="D140" s="4"/>
      <c r="E140" s="4"/>
      <c r="F140" s="4"/>
      <c r="G140" s="19"/>
      <c r="I140" s="4" t="s">
        <v>36</v>
      </c>
      <c r="J140" s="4">
        <f>IF($M$35="DIV_6", 6, 0)</f>
        <v>0</v>
      </c>
      <c r="L140" s="20"/>
      <c r="N140" s="19"/>
      <c r="O140" s="4" t="s">
        <v>280</v>
      </c>
      <c r="P140" s="4"/>
      <c r="Q140" s="4"/>
      <c r="R140" s="4"/>
      <c r="S140" s="4"/>
      <c r="T140" s="4"/>
      <c r="U140" s="4"/>
      <c r="V140" s="4"/>
      <c r="W140" s="20"/>
    </row>
    <row r="141" spans="2:23" x14ac:dyDescent="0.25">
      <c r="B141" s="4"/>
      <c r="C141" s="4"/>
      <c r="D141" s="4"/>
      <c r="E141" s="4"/>
      <c r="F141" s="4"/>
      <c r="G141" s="19"/>
      <c r="I141" s="4" t="s">
        <v>399</v>
      </c>
      <c r="J141" s="4">
        <f>IF($M$35="DIV_10", 10, 0)</f>
        <v>0</v>
      </c>
      <c r="L141" s="20"/>
      <c r="N141" s="19"/>
      <c r="O141" s="4" t="s">
        <v>281</v>
      </c>
      <c r="P141" s="4"/>
      <c r="Q141" s="4"/>
      <c r="R141" s="4"/>
      <c r="S141" s="4"/>
      <c r="T141" s="4"/>
      <c r="U141" s="4"/>
      <c r="V141" s="4"/>
      <c r="W141" s="20"/>
    </row>
    <row r="142" spans="2:23" x14ac:dyDescent="0.25">
      <c r="B142" s="4"/>
      <c r="C142" s="4"/>
      <c r="D142" s="4"/>
      <c r="E142" s="4"/>
      <c r="F142" s="4"/>
      <c r="G142" s="19"/>
      <c r="I142" s="4" t="s">
        <v>400</v>
      </c>
      <c r="J142" s="4">
        <f>IF($M$35="DIV_12", 12, 0)</f>
        <v>0</v>
      </c>
      <c r="L142" s="20"/>
      <c r="N142" s="19"/>
      <c r="O142" s="4" t="s">
        <v>282</v>
      </c>
      <c r="P142" s="4"/>
      <c r="Q142" s="4"/>
      <c r="R142" s="4"/>
      <c r="S142" s="4"/>
      <c r="T142" s="4"/>
      <c r="U142" s="4"/>
      <c r="V142" s="4"/>
      <c r="W142" s="20"/>
    </row>
    <row r="143" spans="2:23" x14ac:dyDescent="0.25">
      <c r="B143" s="4"/>
      <c r="C143" s="4"/>
      <c r="D143" s="4"/>
      <c r="E143" s="4"/>
      <c r="F143" s="4"/>
      <c r="G143" s="19"/>
      <c r="J143" s="3">
        <f>SUM(J135:J142)</f>
        <v>3</v>
      </c>
      <c r="L143" s="20"/>
      <c r="N143" s="19"/>
      <c r="O143" s="4" t="s">
        <v>283</v>
      </c>
      <c r="P143" s="4"/>
      <c r="Q143" s="4"/>
      <c r="R143" s="4"/>
      <c r="S143" s="4"/>
      <c r="T143" s="4"/>
      <c r="U143" s="4"/>
      <c r="V143" s="4"/>
      <c r="W143" s="20"/>
    </row>
    <row r="144" spans="2:23" x14ac:dyDescent="0.25">
      <c r="B144" s="4"/>
      <c r="C144" s="4"/>
      <c r="D144" s="4"/>
      <c r="E144" s="4"/>
      <c r="F144" s="4"/>
      <c r="G144" s="19"/>
      <c r="H144" s="4"/>
      <c r="I144" s="4"/>
      <c r="J144" s="4"/>
      <c r="K144" s="4"/>
      <c r="L144" s="20"/>
      <c r="N144" s="19"/>
      <c r="O144" s="4" t="s">
        <v>284</v>
      </c>
      <c r="P144" s="4"/>
      <c r="Q144" s="4"/>
      <c r="R144" s="4"/>
      <c r="S144" s="4"/>
      <c r="T144" s="4"/>
      <c r="U144" s="4"/>
      <c r="V144" s="4"/>
      <c r="W144" s="20"/>
    </row>
    <row r="145" spans="2:23" x14ac:dyDescent="0.25">
      <c r="B145" s="4"/>
      <c r="C145" s="4"/>
      <c r="D145" s="4"/>
      <c r="E145" s="4"/>
      <c r="F145" s="4"/>
      <c r="G145" s="19"/>
      <c r="H145" s="5" t="s">
        <v>187</v>
      </c>
      <c r="I145" s="4" t="s">
        <v>0</v>
      </c>
      <c r="J145" s="4"/>
      <c r="K145" s="4"/>
      <c r="L145" s="20"/>
      <c r="N145" s="19"/>
      <c r="O145" s="4" t="s">
        <v>266</v>
      </c>
      <c r="P145" s="4"/>
      <c r="Q145" s="4"/>
      <c r="R145" s="4"/>
      <c r="S145" s="4"/>
      <c r="T145" s="4"/>
      <c r="U145" s="4"/>
      <c r="V145" s="4"/>
      <c r="W145" s="20"/>
    </row>
    <row r="146" spans="2:23" x14ac:dyDescent="0.25">
      <c r="B146" s="4"/>
      <c r="C146" s="4"/>
      <c r="D146" s="4"/>
      <c r="E146" s="4"/>
      <c r="F146" s="4"/>
      <c r="G146" s="19"/>
      <c r="H146" s="4"/>
      <c r="I146" s="4" t="s">
        <v>7</v>
      </c>
      <c r="J146" s="4"/>
      <c r="K146" s="4"/>
      <c r="L146" s="20"/>
      <c r="N146" s="19"/>
      <c r="O146" s="4"/>
      <c r="P146" s="4"/>
      <c r="Q146" s="4"/>
      <c r="R146" s="4"/>
      <c r="S146" s="4"/>
      <c r="T146" s="4"/>
      <c r="U146" s="4"/>
      <c r="V146" s="4"/>
      <c r="W146" s="20"/>
    </row>
    <row r="147" spans="2:23" x14ac:dyDescent="0.25">
      <c r="B147" s="4"/>
      <c r="C147" s="4"/>
      <c r="D147" s="4"/>
      <c r="E147" s="4"/>
      <c r="F147" s="4"/>
      <c r="G147" s="19"/>
      <c r="H147" s="4"/>
      <c r="I147" s="4"/>
      <c r="J147" s="4"/>
      <c r="K147" s="4"/>
      <c r="L147" s="20"/>
      <c r="N147" s="19" t="s">
        <v>285</v>
      </c>
      <c r="O147" s="4"/>
      <c r="P147" s="4"/>
      <c r="Q147" s="4"/>
      <c r="R147" s="4"/>
      <c r="S147" s="4"/>
      <c r="T147" s="4"/>
      <c r="U147" s="4"/>
      <c r="V147" s="4"/>
      <c r="W147" s="20"/>
    </row>
    <row r="148" spans="2:23" x14ac:dyDescent="0.25">
      <c r="B148" s="4"/>
      <c r="C148" s="4"/>
      <c r="D148" s="4"/>
      <c r="E148" s="4"/>
      <c r="F148" s="4"/>
      <c r="G148" s="19"/>
      <c r="H148" s="5" t="s">
        <v>193</v>
      </c>
      <c r="I148" s="4" t="s">
        <v>0</v>
      </c>
      <c r="J148" s="4"/>
      <c r="K148" s="4"/>
      <c r="L148" s="20"/>
      <c r="N148" s="19"/>
      <c r="O148" s="4" t="s">
        <v>277</v>
      </c>
      <c r="P148" s="4"/>
      <c r="Q148" s="4"/>
      <c r="R148" s="4"/>
      <c r="S148" s="4"/>
      <c r="T148" s="4"/>
      <c r="U148" s="4"/>
      <c r="V148" s="4"/>
      <c r="W148" s="20"/>
    </row>
    <row r="149" spans="2:23" x14ac:dyDescent="0.25">
      <c r="B149" s="4"/>
      <c r="C149" s="4"/>
      <c r="D149" s="4"/>
      <c r="E149" s="4"/>
      <c r="F149" s="4"/>
      <c r="G149" s="19"/>
      <c r="H149" s="4"/>
      <c r="I149" s="4" t="s">
        <v>7</v>
      </c>
      <c r="J149" s="4"/>
      <c r="K149" s="4"/>
      <c r="L149" s="20"/>
      <c r="N149" s="19"/>
      <c r="O149" s="4" t="s">
        <v>276</v>
      </c>
      <c r="P149" s="4"/>
      <c r="Q149" s="4"/>
      <c r="R149" s="4"/>
      <c r="S149" s="4"/>
      <c r="T149" s="4"/>
      <c r="U149" s="4"/>
      <c r="V149" s="4"/>
      <c r="W149" s="20"/>
    </row>
    <row r="150" spans="2:23" x14ac:dyDescent="0.25">
      <c r="B150" s="4"/>
      <c r="C150" s="4"/>
      <c r="D150" s="4"/>
      <c r="E150" s="4"/>
      <c r="F150" s="4"/>
      <c r="G150" s="19"/>
      <c r="H150" s="4"/>
      <c r="I150" s="4"/>
      <c r="J150" s="4"/>
      <c r="K150" s="4"/>
      <c r="L150" s="20"/>
      <c r="N150" s="19"/>
      <c r="O150" s="4"/>
      <c r="P150" s="4"/>
      <c r="Q150" s="4"/>
      <c r="R150" s="4"/>
      <c r="S150" s="4"/>
      <c r="T150" s="4"/>
      <c r="U150" s="4"/>
      <c r="V150" s="4"/>
      <c r="W150" s="20"/>
    </row>
    <row r="151" spans="2:23" x14ac:dyDescent="0.25">
      <c r="B151" s="4"/>
      <c r="C151" s="4"/>
      <c r="D151" s="4"/>
      <c r="E151" s="4"/>
      <c r="F151" s="4"/>
      <c r="G151" s="19"/>
      <c r="H151" s="5" t="s">
        <v>194</v>
      </c>
      <c r="I151" s="4" t="s">
        <v>0</v>
      </c>
      <c r="J151" s="4"/>
      <c r="K151" s="4"/>
      <c r="L151" s="20"/>
      <c r="N151" s="19" t="s">
        <v>408</v>
      </c>
      <c r="O151" s="4"/>
      <c r="P151" s="4"/>
      <c r="Q151" s="4"/>
      <c r="R151" s="4"/>
      <c r="S151" s="4"/>
      <c r="T151" s="4"/>
      <c r="U151" s="4"/>
      <c r="V151" s="4"/>
      <c r="W151" s="20"/>
    </row>
    <row r="152" spans="2:23" x14ac:dyDescent="0.25">
      <c r="B152" s="4"/>
      <c r="C152" s="4"/>
      <c r="D152" s="4"/>
      <c r="E152" s="4"/>
      <c r="F152" s="4"/>
      <c r="G152" s="19"/>
      <c r="H152" s="4"/>
      <c r="I152" s="4" t="s">
        <v>7</v>
      </c>
      <c r="J152" s="4"/>
      <c r="K152" s="4"/>
      <c r="L152" s="20"/>
      <c r="N152" s="19"/>
      <c r="O152" s="4" t="s">
        <v>389</v>
      </c>
      <c r="P152" s="4"/>
      <c r="Q152" s="4"/>
      <c r="R152" s="4"/>
      <c r="T152" s="4"/>
      <c r="U152" s="4"/>
      <c r="V152" s="4"/>
      <c r="W152" s="20"/>
    </row>
    <row r="153" spans="2:23" x14ac:dyDescent="0.25">
      <c r="B153" s="4"/>
      <c r="C153" s="4"/>
      <c r="D153" s="4"/>
      <c r="E153" s="4"/>
      <c r="F153" s="4"/>
      <c r="G153" s="19"/>
      <c r="H153" s="4"/>
      <c r="I153" s="4"/>
      <c r="J153" s="4"/>
      <c r="K153" s="4"/>
      <c r="L153" s="20"/>
      <c r="N153" s="19"/>
      <c r="O153" s="4" t="s">
        <v>409</v>
      </c>
      <c r="P153" s="4"/>
      <c r="Q153" s="4"/>
      <c r="R153" s="4"/>
      <c r="S153" s="4"/>
      <c r="T153" s="4"/>
      <c r="U153" s="4"/>
      <c r="V153" s="4"/>
      <c r="W153" s="20"/>
    </row>
    <row r="154" spans="2:23" x14ac:dyDescent="0.25">
      <c r="B154" s="4"/>
      <c r="C154" s="4"/>
      <c r="D154" s="4"/>
      <c r="E154" s="4"/>
      <c r="F154" s="4"/>
      <c r="G154" s="19"/>
      <c r="H154" s="4" t="s">
        <v>392</v>
      </c>
      <c r="I154" s="4" t="s">
        <v>32</v>
      </c>
      <c r="J154" s="4">
        <f>IF($Q$45="DIV_1", 1, 0)</f>
        <v>0</v>
      </c>
      <c r="K154" s="4"/>
      <c r="L154" s="20"/>
      <c r="N154" s="19"/>
      <c r="O154" s="4"/>
      <c r="P154" s="4"/>
      <c r="Q154" s="4"/>
      <c r="R154" s="4"/>
      <c r="S154" s="4"/>
      <c r="T154" s="4"/>
      <c r="U154" s="4"/>
      <c r="V154" s="4"/>
      <c r="W154" s="20"/>
    </row>
    <row r="155" spans="2:23" x14ac:dyDescent="0.25">
      <c r="B155" s="4"/>
      <c r="C155" s="4"/>
      <c r="D155" s="4"/>
      <c r="E155" s="4"/>
      <c r="F155" s="4"/>
      <c r="G155" s="19"/>
      <c r="H155" s="4"/>
      <c r="I155" s="4" t="s">
        <v>4</v>
      </c>
      <c r="J155" s="4">
        <f>IF($Q$45="DIV_2", 2, 0)</f>
        <v>2</v>
      </c>
      <c r="K155" s="4"/>
      <c r="L155" s="20"/>
      <c r="N155" s="19" t="s">
        <v>293</v>
      </c>
      <c r="O155" s="4"/>
      <c r="P155" s="4"/>
      <c r="Q155" s="4"/>
      <c r="R155" s="4"/>
      <c r="S155" s="4"/>
      <c r="T155" s="4"/>
      <c r="U155" s="4"/>
      <c r="V155" s="4"/>
      <c r="W155" s="20"/>
    </row>
    <row r="156" spans="2:23" x14ac:dyDescent="0.25">
      <c r="B156" s="4"/>
      <c r="C156" s="4"/>
      <c r="D156" s="4"/>
      <c r="E156" s="4"/>
      <c r="F156" s="4"/>
      <c r="G156" s="19"/>
      <c r="H156" s="4"/>
      <c r="I156" s="4" t="s">
        <v>34</v>
      </c>
      <c r="J156" s="4">
        <f>IF($Q$45="DIV_4", 4, 0)</f>
        <v>0</v>
      </c>
      <c r="K156" s="4"/>
      <c r="L156" s="20"/>
      <c r="N156" s="19"/>
      <c r="O156" s="4" t="s">
        <v>295</v>
      </c>
      <c r="P156" s="4"/>
      <c r="Q156" s="4"/>
      <c r="R156" s="4"/>
      <c r="S156" s="4"/>
      <c r="T156" s="4"/>
      <c r="U156" s="4"/>
      <c r="V156" s="4"/>
      <c r="W156" s="20"/>
    </row>
    <row r="157" spans="2:23" x14ac:dyDescent="0.25">
      <c r="B157" s="4"/>
      <c r="C157" s="4"/>
      <c r="D157" s="4"/>
      <c r="E157" s="4"/>
      <c r="F157" s="4"/>
      <c r="G157" s="19"/>
      <c r="H157" s="4"/>
      <c r="I157" s="4" t="s">
        <v>1</v>
      </c>
      <c r="J157" s="4">
        <f>IF($Q$45="DIV_8", 8, 0)</f>
        <v>0</v>
      </c>
      <c r="K157" s="4"/>
      <c r="L157" s="20"/>
      <c r="N157" s="19"/>
      <c r="O157" s="4" t="s">
        <v>294</v>
      </c>
      <c r="P157" s="4"/>
      <c r="Q157" s="4"/>
      <c r="R157" s="4"/>
      <c r="S157" s="4"/>
      <c r="T157" s="4"/>
      <c r="U157" s="4"/>
      <c r="V157" s="4"/>
      <c r="W157" s="20"/>
    </row>
    <row r="158" spans="2:23" ht="14.4" thickBot="1" x14ac:dyDescent="0.3">
      <c r="B158" s="4"/>
      <c r="C158" s="4"/>
      <c r="D158" s="4"/>
      <c r="E158" s="4"/>
      <c r="F158" s="4"/>
      <c r="G158" s="22"/>
      <c r="H158" s="23"/>
      <c r="I158" s="23"/>
      <c r="J158" s="23">
        <f>SUM(J154:J157)</f>
        <v>2</v>
      </c>
      <c r="K158" s="23"/>
      <c r="L158" s="24"/>
      <c r="N158" s="19"/>
      <c r="O158" s="4"/>
      <c r="P158" s="4"/>
      <c r="Q158" s="4"/>
      <c r="R158" s="4"/>
      <c r="S158" s="4"/>
      <c r="T158" s="4"/>
      <c r="U158" s="4"/>
      <c r="V158" s="4"/>
      <c r="W158" s="20"/>
    </row>
    <row r="159" spans="2:23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N159" s="19" t="s">
        <v>296</v>
      </c>
      <c r="O159" s="4"/>
      <c r="P159" s="4"/>
      <c r="Q159" s="4"/>
      <c r="R159" s="4"/>
      <c r="S159" s="4"/>
      <c r="T159" s="4"/>
      <c r="U159" s="4"/>
      <c r="V159" s="4"/>
      <c r="W159" s="20"/>
    </row>
    <row r="160" spans="2:23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N160" s="19"/>
      <c r="O160" s="4" t="s">
        <v>298</v>
      </c>
      <c r="P160" s="4"/>
      <c r="Q160" s="4"/>
      <c r="R160" s="4"/>
      <c r="S160" s="4"/>
      <c r="T160" s="4"/>
      <c r="U160" s="4"/>
      <c r="V160" s="4"/>
      <c r="W160" s="20"/>
    </row>
    <row r="161" spans="2:23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N161" s="19"/>
      <c r="O161" s="4" t="s">
        <v>299</v>
      </c>
      <c r="P161" s="4"/>
      <c r="Q161" s="4"/>
      <c r="R161" s="4"/>
      <c r="S161" s="4"/>
      <c r="T161" s="4"/>
      <c r="U161" s="4"/>
      <c r="V161" s="4"/>
      <c r="W161" s="20"/>
    </row>
    <row r="162" spans="2:23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N162" s="19"/>
      <c r="O162" s="4" t="s">
        <v>300</v>
      </c>
      <c r="P162" s="4"/>
      <c r="Q162" s="4"/>
      <c r="R162" s="4"/>
      <c r="S162" s="4"/>
      <c r="T162" s="4"/>
      <c r="U162" s="4"/>
      <c r="V162" s="4"/>
      <c r="W162" s="20"/>
    </row>
    <row r="163" spans="2:23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N163" s="19"/>
      <c r="O163" s="4" t="s">
        <v>301</v>
      </c>
      <c r="P163" s="4"/>
      <c r="Q163" s="4"/>
      <c r="R163" s="4"/>
      <c r="S163" s="4"/>
      <c r="T163" s="4"/>
      <c r="U163" s="4"/>
      <c r="V163" s="4"/>
      <c r="W163" s="20"/>
    </row>
    <row r="164" spans="2:23" x14ac:dyDescent="0.25">
      <c r="B164" s="4"/>
      <c r="C164" s="4"/>
      <c r="D164" s="4"/>
      <c r="E164" s="4"/>
      <c r="F164" s="4"/>
      <c r="G164" s="4"/>
      <c r="H164" s="5"/>
      <c r="I164" s="4"/>
      <c r="J164" s="4"/>
      <c r="K164" s="4"/>
      <c r="L164" s="4"/>
      <c r="N164" s="19"/>
      <c r="O164" s="4" t="s">
        <v>302</v>
      </c>
      <c r="P164" s="4"/>
      <c r="Q164" s="4"/>
      <c r="R164" s="4"/>
      <c r="S164" s="4"/>
      <c r="T164" s="4"/>
      <c r="U164" s="4"/>
      <c r="V164" s="4"/>
      <c r="W164" s="20"/>
    </row>
    <row r="165" spans="2:23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N165" s="19"/>
      <c r="O165" s="4" t="s">
        <v>303</v>
      </c>
      <c r="P165" s="4"/>
      <c r="Q165" s="4"/>
      <c r="R165" s="4"/>
      <c r="S165" s="4"/>
      <c r="T165" s="4"/>
      <c r="U165" s="4"/>
      <c r="V165" s="4"/>
      <c r="W165" s="20"/>
    </row>
    <row r="166" spans="2:23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N166" s="19"/>
      <c r="O166" s="4" t="s">
        <v>304</v>
      </c>
      <c r="P166" s="4"/>
      <c r="Q166" s="4"/>
      <c r="R166" s="4"/>
      <c r="S166" s="4"/>
      <c r="T166" s="4"/>
      <c r="U166" s="4"/>
      <c r="V166" s="4"/>
      <c r="W166" s="20"/>
    </row>
    <row r="167" spans="2:23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N167" s="19"/>
      <c r="O167" s="4" t="s">
        <v>297</v>
      </c>
      <c r="P167" s="4"/>
      <c r="Q167" s="4"/>
      <c r="R167" s="4"/>
      <c r="S167" s="4"/>
      <c r="T167" s="4"/>
      <c r="U167" s="4"/>
      <c r="V167" s="4"/>
      <c r="W167" s="20"/>
    </row>
    <row r="168" spans="2:23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N168" s="19"/>
      <c r="O168" s="4"/>
      <c r="P168" s="4"/>
      <c r="Q168" s="4"/>
      <c r="R168" s="4"/>
      <c r="S168" s="4"/>
      <c r="T168" s="4"/>
      <c r="U168" s="4"/>
      <c r="V168" s="4"/>
      <c r="W168" s="20"/>
    </row>
    <row r="169" spans="2:23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N169" s="19" t="s">
        <v>305</v>
      </c>
      <c r="O169" s="4"/>
      <c r="P169" s="4"/>
      <c r="Q169" s="4"/>
      <c r="R169" s="4"/>
      <c r="S169" s="4"/>
      <c r="T169" s="4"/>
      <c r="U169" s="4"/>
      <c r="V169" s="4"/>
      <c r="W169" s="20"/>
    </row>
    <row r="170" spans="2:23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N170" s="19"/>
      <c r="O170" s="4">
        <v>15</v>
      </c>
      <c r="P170" s="4"/>
      <c r="Q170" s="4"/>
      <c r="R170" s="4"/>
      <c r="S170" s="4"/>
      <c r="T170" s="4"/>
      <c r="U170" s="4"/>
      <c r="V170" s="4"/>
      <c r="W170" s="20"/>
    </row>
    <row r="171" spans="2:23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N171" s="19"/>
      <c r="O171" s="4">
        <v>16</v>
      </c>
      <c r="P171" s="4"/>
      <c r="Q171" s="4"/>
      <c r="R171" s="4"/>
      <c r="S171" s="4"/>
      <c r="T171" s="4"/>
      <c r="U171" s="4"/>
      <c r="V171" s="4"/>
      <c r="W171" s="20"/>
    </row>
    <row r="172" spans="2:23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N172" s="19"/>
      <c r="O172" s="5">
        <v>17</v>
      </c>
      <c r="P172" s="4"/>
      <c r="Q172" s="4"/>
      <c r="R172" s="4"/>
      <c r="S172" s="4"/>
      <c r="T172" s="4"/>
      <c r="U172" s="4"/>
      <c r="V172" s="4"/>
      <c r="W172" s="20"/>
    </row>
    <row r="173" spans="2:23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N173" s="19"/>
      <c r="O173" s="4">
        <v>18</v>
      </c>
      <c r="P173" s="4"/>
      <c r="Q173" s="4"/>
      <c r="R173" s="4"/>
      <c r="S173" s="4"/>
      <c r="T173" s="4"/>
      <c r="U173" s="4"/>
      <c r="V173" s="4"/>
      <c r="W173" s="20"/>
    </row>
    <row r="174" spans="2:23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N174" s="19"/>
      <c r="O174" s="4">
        <v>19</v>
      </c>
      <c r="P174" s="4"/>
      <c r="Q174" s="4"/>
      <c r="R174" s="4"/>
      <c r="S174" s="4"/>
      <c r="T174" s="4"/>
      <c r="U174" s="4"/>
      <c r="V174" s="4"/>
      <c r="W174" s="20"/>
    </row>
    <row r="175" spans="2:23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N175" s="19"/>
      <c r="O175" s="4">
        <v>20</v>
      </c>
      <c r="P175" s="4"/>
      <c r="Q175" s="4"/>
      <c r="R175" s="4"/>
      <c r="S175" s="4"/>
      <c r="T175" s="4"/>
      <c r="U175" s="4"/>
      <c r="V175" s="4"/>
      <c r="W175" s="20"/>
    </row>
    <row r="176" spans="2:23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N176" s="19"/>
      <c r="O176" s="4">
        <v>21</v>
      </c>
      <c r="P176" s="4"/>
      <c r="Q176" s="4"/>
      <c r="R176" s="4"/>
      <c r="S176" s="4"/>
      <c r="T176" s="4"/>
      <c r="U176" s="4"/>
      <c r="V176" s="4"/>
      <c r="W176" s="20"/>
    </row>
    <row r="177" spans="2:23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N177" s="19"/>
      <c r="O177" s="4">
        <v>24</v>
      </c>
      <c r="P177" s="4"/>
      <c r="Q177" s="4"/>
      <c r="R177" s="4"/>
      <c r="S177" s="4"/>
      <c r="T177" s="4"/>
      <c r="U177" s="4"/>
      <c r="V177" s="4"/>
      <c r="W177" s="20"/>
    </row>
    <row r="178" spans="2:23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N178" s="19"/>
      <c r="O178" s="4"/>
      <c r="P178" s="4"/>
      <c r="Q178" s="4"/>
      <c r="R178" s="4"/>
      <c r="S178" s="4"/>
      <c r="T178" s="4"/>
      <c r="U178" s="4"/>
      <c r="V178" s="4"/>
      <c r="W178" s="20"/>
    </row>
    <row r="179" spans="2:23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N179" s="19" t="s">
        <v>308</v>
      </c>
      <c r="O179" s="4"/>
      <c r="P179" s="4"/>
      <c r="Q179" s="4"/>
      <c r="R179" s="4"/>
      <c r="S179" s="4"/>
      <c r="T179" s="4"/>
      <c r="U179" s="4"/>
      <c r="V179" s="4"/>
      <c r="W179" s="20"/>
    </row>
    <row r="180" spans="2:23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N180" s="19"/>
      <c r="O180" s="4" t="s">
        <v>309</v>
      </c>
      <c r="P180" s="4"/>
      <c r="Q180" s="4"/>
      <c r="R180" s="4"/>
      <c r="S180" s="4"/>
      <c r="T180" s="4"/>
      <c r="U180" s="4"/>
      <c r="V180" s="4"/>
      <c r="W180" s="20"/>
    </row>
    <row r="181" spans="2:23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N181" s="19"/>
      <c r="O181" s="4" t="s">
        <v>310</v>
      </c>
      <c r="P181" s="4"/>
      <c r="Q181" s="4"/>
      <c r="R181" s="4"/>
      <c r="S181" s="4"/>
      <c r="T181" s="4"/>
      <c r="U181" s="4"/>
      <c r="V181" s="4"/>
      <c r="W181" s="20"/>
    </row>
    <row r="182" spans="2:23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N182" s="19"/>
      <c r="O182" s="4" t="s">
        <v>311</v>
      </c>
      <c r="P182" s="4"/>
      <c r="Q182" s="4"/>
      <c r="R182" s="4"/>
      <c r="S182" s="4"/>
      <c r="T182" s="4"/>
      <c r="U182" s="4"/>
      <c r="V182" s="4"/>
      <c r="W182" s="20"/>
    </row>
    <row r="183" spans="2:23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N183" s="19"/>
      <c r="O183" s="4" t="s">
        <v>312</v>
      </c>
      <c r="P183" s="4"/>
      <c r="Q183" s="4"/>
      <c r="R183" s="4"/>
      <c r="S183" s="4"/>
      <c r="T183" s="4"/>
      <c r="U183" s="4"/>
      <c r="V183" s="4"/>
      <c r="W183" s="20"/>
    </row>
    <row r="184" spans="2:23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N184" s="19"/>
      <c r="O184" s="4" t="s">
        <v>313</v>
      </c>
      <c r="P184" s="4"/>
      <c r="Q184" s="4"/>
      <c r="R184" s="4"/>
      <c r="S184" s="4"/>
      <c r="T184" s="4"/>
      <c r="U184" s="4"/>
      <c r="V184" s="4"/>
      <c r="W184" s="20"/>
    </row>
    <row r="185" spans="2:23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N185" s="19"/>
      <c r="O185" s="4" t="s">
        <v>314</v>
      </c>
      <c r="P185" s="4"/>
      <c r="Q185" s="4"/>
      <c r="R185" s="4"/>
      <c r="S185" s="4"/>
      <c r="T185" s="4"/>
      <c r="U185" s="4"/>
      <c r="V185" s="4"/>
      <c r="W185" s="20"/>
    </row>
    <row r="186" spans="2:23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N186" s="19"/>
      <c r="O186" s="4" t="s">
        <v>315</v>
      </c>
      <c r="P186" s="4"/>
      <c r="Q186" s="4"/>
      <c r="R186" s="4"/>
      <c r="S186" s="4"/>
      <c r="T186" s="4"/>
      <c r="U186" s="4"/>
      <c r="V186" s="4"/>
      <c r="W186" s="20"/>
    </row>
    <row r="187" spans="2:23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N187" s="19"/>
      <c r="O187" s="4" t="s">
        <v>307</v>
      </c>
      <c r="P187" s="4"/>
      <c r="Q187" s="4"/>
      <c r="R187" s="4"/>
      <c r="S187" s="4"/>
      <c r="T187" s="4"/>
      <c r="U187" s="4"/>
      <c r="V187" s="4"/>
      <c r="W187" s="20"/>
    </row>
    <row r="188" spans="2:23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N188" s="19"/>
      <c r="O188" s="4"/>
      <c r="P188" s="4"/>
      <c r="Q188" s="4"/>
      <c r="R188" s="4"/>
      <c r="S188" s="4"/>
      <c r="T188" s="4"/>
      <c r="U188" s="4"/>
      <c r="V188" s="4"/>
      <c r="W188" s="20"/>
    </row>
    <row r="189" spans="2:23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N189" s="19" t="s">
        <v>331</v>
      </c>
      <c r="O189" s="4"/>
      <c r="P189" s="4"/>
      <c r="Q189" s="4"/>
      <c r="R189" s="4"/>
      <c r="S189" s="4"/>
      <c r="T189" s="4"/>
      <c r="U189" s="4"/>
      <c r="V189" s="4"/>
      <c r="W189" s="20"/>
    </row>
    <row r="190" spans="2:23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N190" s="19"/>
      <c r="O190" s="4" t="s">
        <v>336</v>
      </c>
      <c r="P190" s="4"/>
      <c r="Q190" s="4"/>
      <c r="R190" s="4"/>
      <c r="S190" s="4"/>
      <c r="T190" s="4">
        <f>$M$59</f>
        <v>8</v>
      </c>
      <c r="U190" s="4">
        <f>IF($O$79=O190, T190, 0)</f>
        <v>8</v>
      </c>
      <c r="V190" s="4"/>
      <c r="W190" s="20"/>
    </row>
    <row r="191" spans="2:23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N191" s="19"/>
      <c r="O191" s="4" t="s">
        <v>339</v>
      </c>
      <c r="P191" s="4"/>
      <c r="Q191" s="4"/>
      <c r="R191" s="4"/>
      <c r="S191" s="4"/>
      <c r="T191" s="4">
        <f>$M$61</f>
        <v>80</v>
      </c>
      <c r="U191" s="4">
        <f t="shared" ref="U191:U198" si="2">IF($O$79=O191, T191, 0)</f>
        <v>0</v>
      </c>
      <c r="V191" s="4"/>
      <c r="W191" s="20"/>
    </row>
    <row r="192" spans="2:23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N192" s="19"/>
      <c r="O192" s="4" t="s">
        <v>335</v>
      </c>
      <c r="P192" s="4"/>
      <c r="Q192" s="4"/>
      <c r="R192" s="4"/>
      <c r="S192" s="4"/>
      <c r="T192" s="4">
        <f>$M$63</f>
        <v>12</v>
      </c>
      <c r="U192" s="4">
        <f t="shared" si="2"/>
        <v>0</v>
      </c>
      <c r="V192" s="4"/>
      <c r="W192" s="20"/>
    </row>
    <row r="193" spans="2:23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N193" s="19"/>
      <c r="O193" s="4" t="s">
        <v>410</v>
      </c>
      <c r="P193" s="4"/>
      <c r="Q193" s="4"/>
      <c r="R193" s="4"/>
      <c r="S193" s="4"/>
      <c r="T193" s="4">
        <f>$M$65</f>
        <v>96</v>
      </c>
      <c r="U193" s="4">
        <f t="shared" si="2"/>
        <v>0</v>
      </c>
      <c r="V193" s="4"/>
      <c r="W193" s="20"/>
    </row>
    <row r="194" spans="2:23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N194" s="19"/>
      <c r="O194" s="4" t="s">
        <v>337</v>
      </c>
      <c r="P194" s="4"/>
      <c r="Q194" s="4"/>
      <c r="R194" s="4"/>
      <c r="S194" s="4"/>
      <c r="T194" s="4">
        <f>$M$67 * 0.001</f>
        <v>3.125E-2</v>
      </c>
      <c r="U194" s="4">
        <f t="shared" si="2"/>
        <v>0</v>
      </c>
      <c r="V194" s="4"/>
      <c r="W194" s="20"/>
    </row>
    <row r="195" spans="2:23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N195" s="19"/>
      <c r="O195" s="4" t="s">
        <v>338</v>
      </c>
      <c r="P195" s="4"/>
      <c r="Q195" s="4"/>
      <c r="R195" s="4"/>
      <c r="S195" s="4"/>
      <c r="T195" s="33">
        <f>$M$69 * 0.001</f>
        <v>3.2767999999999999E-2</v>
      </c>
      <c r="U195" s="4">
        <f t="shared" si="2"/>
        <v>0</v>
      </c>
      <c r="V195" s="4"/>
      <c r="W195" s="20"/>
    </row>
    <row r="196" spans="2:23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N196" s="19"/>
      <c r="O196" s="4" t="s">
        <v>334</v>
      </c>
      <c r="P196" s="4"/>
      <c r="Q196" s="4"/>
      <c r="R196" s="4"/>
      <c r="S196" s="4"/>
      <c r="T196" s="4">
        <f>$M$71</f>
        <v>20</v>
      </c>
      <c r="U196" s="4">
        <f t="shared" si="2"/>
        <v>0</v>
      </c>
      <c r="V196" s="4"/>
      <c r="W196" s="20"/>
    </row>
    <row r="197" spans="2:23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N197" s="19"/>
      <c r="O197" s="4" t="s">
        <v>333</v>
      </c>
      <c r="P197" s="4"/>
      <c r="Q197" s="4"/>
      <c r="R197" s="4"/>
      <c r="S197" s="4"/>
      <c r="T197" s="4">
        <f>$M$73</f>
        <v>40</v>
      </c>
      <c r="U197" s="4">
        <f t="shared" si="2"/>
        <v>0</v>
      </c>
      <c r="V197" s="4"/>
      <c r="W197" s="20"/>
    </row>
    <row r="198" spans="2:23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N198" s="19"/>
      <c r="O198" s="4" t="s">
        <v>332</v>
      </c>
      <c r="P198" s="4"/>
      <c r="Q198" s="4"/>
      <c r="R198" s="4"/>
      <c r="S198" s="4"/>
      <c r="T198" s="4">
        <f>$M$75</f>
        <v>2</v>
      </c>
      <c r="U198" s="4">
        <f t="shared" si="2"/>
        <v>0</v>
      </c>
      <c r="V198" s="4"/>
      <c r="W198" s="20"/>
    </row>
    <row r="199" spans="2:23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N199" s="19"/>
      <c r="O199" s="4"/>
      <c r="P199" s="4"/>
      <c r="Q199" s="4"/>
      <c r="R199" s="4"/>
      <c r="S199" s="4"/>
      <c r="T199" s="4"/>
      <c r="U199" s="4">
        <f>SUM(U190:U198)</f>
        <v>8</v>
      </c>
      <c r="V199" s="4"/>
      <c r="W199" s="20"/>
    </row>
    <row r="200" spans="2:23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N200" s="19"/>
      <c r="O200" s="4"/>
      <c r="P200" s="4"/>
      <c r="Q200" s="4"/>
      <c r="R200" s="4"/>
      <c r="S200" s="4"/>
      <c r="T200" s="4"/>
      <c r="U200" s="4"/>
      <c r="V200" s="4"/>
      <c r="W200" s="20"/>
    </row>
    <row r="201" spans="2:23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N201" s="19" t="s">
        <v>343</v>
      </c>
      <c r="O201" s="4" t="s">
        <v>369</v>
      </c>
      <c r="P201" s="4"/>
      <c r="Q201" s="4"/>
      <c r="R201" s="4"/>
      <c r="S201" s="4"/>
      <c r="T201" s="4"/>
      <c r="U201" s="4"/>
      <c r="V201" s="4"/>
      <c r="W201" s="20"/>
    </row>
    <row r="202" spans="2:23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N202" s="19"/>
      <c r="O202" s="4" t="s">
        <v>345</v>
      </c>
      <c r="P202" s="4"/>
      <c r="Q202" s="4"/>
      <c r="R202" s="4"/>
      <c r="S202" s="4"/>
      <c r="T202" s="4">
        <v>1</v>
      </c>
      <c r="U202" s="4"/>
      <c r="V202" s="4"/>
      <c r="W202" s="20"/>
    </row>
    <row r="203" spans="2:23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N203" s="19"/>
      <c r="O203" s="4" t="s">
        <v>346</v>
      </c>
      <c r="P203" s="4"/>
      <c r="Q203" s="4"/>
      <c r="R203" s="4"/>
      <c r="S203" s="4"/>
      <c r="T203" s="4">
        <v>2</v>
      </c>
      <c r="U203" s="4"/>
      <c r="V203" s="4"/>
      <c r="W203" s="20"/>
    </row>
    <row r="204" spans="2:23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N204" s="19"/>
      <c r="O204" s="4" t="s">
        <v>347</v>
      </c>
      <c r="P204" s="4"/>
      <c r="Q204" s="4"/>
      <c r="R204" s="4"/>
      <c r="S204" s="4"/>
      <c r="T204" s="4">
        <v>4</v>
      </c>
      <c r="U204" s="4"/>
      <c r="V204" s="4"/>
      <c r="W204" s="20"/>
    </row>
    <row r="205" spans="2:23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N205" s="19"/>
      <c r="O205" s="4" t="s">
        <v>348</v>
      </c>
      <c r="P205" s="4"/>
      <c r="Q205" s="4"/>
      <c r="R205" s="4"/>
      <c r="S205" s="4"/>
      <c r="T205" s="4">
        <v>8</v>
      </c>
      <c r="U205" s="4"/>
      <c r="V205" s="4"/>
      <c r="W205" s="20"/>
    </row>
    <row r="206" spans="2:23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N206" s="19"/>
      <c r="O206" s="4" t="s">
        <v>349</v>
      </c>
      <c r="P206" s="4"/>
      <c r="Q206" s="4"/>
      <c r="R206" s="4"/>
      <c r="S206" s="4"/>
      <c r="T206" s="4">
        <v>16</v>
      </c>
      <c r="U206" s="4"/>
      <c r="V206" s="4"/>
      <c r="W206" s="20"/>
    </row>
    <row r="207" spans="2:23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N207" s="19"/>
      <c r="O207" s="4" t="s">
        <v>350</v>
      </c>
      <c r="P207" s="4"/>
      <c r="Q207" s="4"/>
      <c r="R207" s="4"/>
      <c r="S207" s="4"/>
      <c r="T207" s="4">
        <v>32</v>
      </c>
      <c r="U207" s="4"/>
      <c r="V207" s="4"/>
      <c r="W207" s="20"/>
    </row>
    <row r="208" spans="2:23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19"/>
      <c r="O208" s="4" t="s">
        <v>351</v>
      </c>
      <c r="P208" s="4"/>
      <c r="Q208" s="4"/>
      <c r="R208" s="4"/>
      <c r="S208" s="4"/>
      <c r="T208" s="4">
        <v>64</v>
      </c>
      <c r="U208" s="4"/>
      <c r="V208" s="4"/>
      <c r="W208" s="20"/>
    </row>
    <row r="209" spans="2:23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N209" s="19"/>
      <c r="O209" s="4" t="s">
        <v>352</v>
      </c>
      <c r="P209" s="4"/>
      <c r="Q209" s="4"/>
      <c r="R209" s="4"/>
      <c r="S209" s="4"/>
      <c r="T209" s="4">
        <v>128</v>
      </c>
      <c r="U209" s="4"/>
      <c r="V209" s="4"/>
      <c r="W209" s="20"/>
    </row>
    <row r="210" spans="2:23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N210" s="19"/>
      <c r="O210" s="4" t="s">
        <v>353</v>
      </c>
      <c r="P210" s="4"/>
      <c r="Q210" s="4"/>
      <c r="R210" s="4"/>
      <c r="S210" s="4"/>
      <c r="T210" s="4">
        <v>256</v>
      </c>
      <c r="U210" s="4"/>
      <c r="V210" s="4"/>
      <c r="W210" s="20"/>
    </row>
    <row r="211" spans="2:23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N211" s="19"/>
      <c r="O211" s="4" t="s">
        <v>354</v>
      </c>
      <c r="P211" s="4"/>
      <c r="Q211" s="4"/>
      <c r="R211" s="4"/>
      <c r="S211" s="4"/>
      <c r="T211" s="4">
        <v>512</v>
      </c>
      <c r="U211" s="4"/>
      <c r="V211" s="4"/>
      <c r="W211" s="20"/>
    </row>
    <row r="212" spans="2:23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N212" s="19"/>
      <c r="O212" s="4" t="s">
        <v>355</v>
      </c>
      <c r="P212" s="4"/>
      <c r="Q212" s="4"/>
      <c r="R212" s="4"/>
      <c r="S212" s="4"/>
      <c r="T212" s="4">
        <v>1024</v>
      </c>
      <c r="U212" s="4"/>
      <c r="V212" s="4"/>
      <c r="W212" s="20"/>
    </row>
    <row r="213" spans="2:23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N213" s="19"/>
      <c r="O213" s="4" t="s">
        <v>356</v>
      </c>
      <c r="P213" s="4"/>
      <c r="Q213" s="4"/>
      <c r="R213" s="4"/>
      <c r="S213" s="4"/>
      <c r="T213" s="4">
        <v>2048</v>
      </c>
      <c r="U213" s="4"/>
      <c r="V213" s="4"/>
      <c r="W213" s="20"/>
    </row>
    <row r="214" spans="2:23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N214" s="19"/>
      <c r="O214" s="4" t="s">
        <v>357</v>
      </c>
      <c r="P214" s="4"/>
      <c r="Q214" s="4"/>
      <c r="R214" s="4"/>
      <c r="S214" s="4"/>
      <c r="T214" s="4">
        <v>4096</v>
      </c>
      <c r="U214" s="4"/>
      <c r="V214" s="4"/>
      <c r="W214" s="20"/>
    </row>
    <row r="215" spans="2:23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N215" s="19"/>
      <c r="O215" s="4" t="s">
        <v>358</v>
      </c>
      <c r="P215" s="4"/>
      <c r="Q215" s="4"/>
      <c r="R215" s="4"/>
      <c r="S215" s="4"/>
      <c r="T215" s="4">
        <v>8192</v>
      </c>
      <c r="U215" s="4"/>
      <c r="V215" s="4"/>
      <c r="W215" s="20"/>
    </row>
    <row r="216" spans="2:23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N216" s="19"/>
      <c r="O216" s="4" t="s">
        <v>359</v>
      </c>
      <c r="P216" s="4"/>
      <c r="Q216" s="4"/>
      <c r="R216" s="4"/>
      <c r="S216" s="4"/>
      <c r="T216" s="4">
        <v>16384</v>
      </c>
      <c r="U216" s="4"/>
      <c r="V216" s="4"/>
      <c r="W216" s="20"/>
    </row>
    <row r="217" spans="2:23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N217" s="19"/>
      <c r="O217" s="4" t="s">
        <v>344</v>
      </c>
      <c r="P217" s="4"/>
      <c r="Q217" s="4"/>
      <c r="R217" s="4"/>
      <c r="S217" s="4"/>
      <c r="T217" s="4">
        <v>32768</v>
      </c>
      <c r="U217" s="4"/>
      <c r="V217" s="4"/>
      <c r="W217" s="20"/>
    </row>
    <row r="218" spans="2:23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N218" s="19"/>
      <c r="O218" s="4"/>
      <c r="P218" s="4"/>
      <c r="Q218" s="4"/>
      <c r="R218" s="4"/>
      <c r="S218" s="4"/>
      <c r="T218" s="4"/>
      <c r="U218" s="4"/>
      <c r="V218" s="4"/>
      <c r="W218" s="20"/>
    </row>
    <row r="219" spans="2:23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N219" s="19" t="s">
        <v>361</v>
      </c>
      <c r="O219" s="4"/>
      <c r="P219" s="4"/>
      <c r="Q219" s="4"/>
      <c r="R219" s="4"/>
      <c r="S219" s="4"/>
      <c r="T219" s="4"/>
      <c r="U219" s="4"/>
      <c r="V219" s="4"/>
      <c r="W219" s="20"/>
    </row>
    <row r="220" spans="2:23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N220" s="19"/>
      <c r="O220" s="4">
        <v>1</v>
      </c>
      <c r="P220" s="4"/>
      <c r="S220" s="5" t="s">
        <v>368</v>
      </c>
      <c r="T220" s="35">
        <f>Q66+($Q$65/512)</f>
        <v>9.498046875</v>
      </c>
      <c r="V220" s="4"/>
      <c r="W220" s="20"/>
    </row>
    <row r="221" spans="2:23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N221" s="19"/>
      <c r="O221" s="4">
        <v>2</v>
      </c>
      <c r="P221" s="4"/>
      <c r="Q221" s="4"/>
      <c r="R221" s="4"/>
      <c r="S221" s="4"/>
      <c r="T221" s="4"/>
      <c r="U221" s="4"/>
      <c r="V221" s="4"/>
      <c r="W221" s="20"/>
    </row>
    <row r="222" spans="2:23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N222" s="19"/>
      <c r="O222" s="5" t="s">
        <v>306</v>
      </c>
      <c r="P222" s="4"/>
      <c r="Q222" s="4"/>
      <c r="R222" s="4"/>
      <c r="S222" s="4"/>
      <c r="U222" s="4"/>
      <c r="V222" s="4"/>
      <c r="W222" s="20"/>
    </row>
    <row r="223" spans="2:23" ht="14.4" thickBot="1" x14ac:dyDescent="0.3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N223" s="22"/>
      <c r="O223" s="23">
        <v>512</v>
      </c>
      <c r="P223" s="23"/>
      <c r="Q223" s="23"/>
      <c r="R223" s="23"/>
      <c r="S223" s="23"/>
      <c r="T223" s="23"/>
      <c r="U223" s="23"/>
      <c r="V223" s="23"/>
      <c r="W223" s="24"/>
    </row>
    <row r="224" spans="2:23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6" spans="4:14" ht="14.4" thickBot="1" x14ac:dyDescent="0.3"/>
    <row r="227" spans="4:14" x14ac:dyDescent="0.25">
      <c r="D227" s="16" t="s">
        <v>235</v>
      </c>
      <c r="E227" s="17"/>
      <c r="F227" s="17"/>
      <c r="G227" s="17"/>
      <c r="H227" s="17"/>
      <c r="I227" s="17"/>
      <c r="J227" s="17"/>
      <c r="K227" s="17"/>
      <c r="L227" s="17"/>
      <c r="M227" s="17"/>
      <c r="N227" s="18"/>
    </row>
    <row r="228" spans="4:14" x14ac:dyDescent="0.25">
      <c r="D228" s="25"/>
      <c r="E228" s="26" t="s">
        <v>234</v>
      </c>
      <c r="F228" s="26"/>
      <c r="G228" s="26"/>
      <c r="H228" s="26"/>
      <c r="I228" s="26"/>
      <c r="J228" s="26"/>
      <c r="K228" s="26"/>
      <c r="L228" s="26"/>
      <c r="M228" s="26"/>
      <c r="N228" s="27"/>
    </row>
    <row r="229" spans="4:14" x14ac:dyDescent="0.25">
      <c r="D229" s="19"/>
      <c r="E229" s="4" t="s">
        <v>236</v>
      </c>
      <c r="F229" s="4" t="b">
        <f>OR(AND(G35="ON", $I$30="HS"), AND(G35="ON", $I$30="XT"))</f>
        <v>0</v>
      </c>
      <c r="G229" s="4"/>
      <c r="H229" s="4" t="s">
        <v>243</v>
      </c>
      <c r="I229" s="4"/>
      <c r="J229" s="4"/>
      <c r="K229" s="4"/>
      <c r="L229" s="4"/>
      <c r="M229" s="4"/>
      <c r="N229" s="20"/>
    </row>
    <row r="230" spans="4:14" x14ac:dyDescent="0.25">
      <c r="D230" s="19"/>
      <c r="E230" s="4"/>
      <c r="F230" s="4"/>
      <c r="G230" s="4"/>
      <c r="H230" s="4"/>
      <c r="I230" s="4"/>
      <c r="J230" s="4"/>
      <c r="K230" s="4"/>
      <c r="L230" s="4"/>
      <c r="M230" s="4"/>
      <c r="N230" s="20"/>
    </row>
    <row r="231" spans="4:14" x14ac:dyDescent="0.25">
      <c r="D231" s="19"/>
      <c r="E231" s="4" t="s">
        <v>263</v>
      </c>
      <c r="F231" s="4">
        <f>IF($R$49&gt;100,1,0)</f>
        <v>0</v>
      </c>
      <c r="G231" s="4"/>
      <c r="H231" s="4" t="s">
        <v>411</v>
      </c>
      <c r="I231" s="4"/>
      <c r="J231" s="4"/>
      <c r="K231" s="4"/>
      <c r="L231" s="4"/>
      <c r="M231" s="4"/>
      <c r="N231" s="20"/>
    </row>
    <row r="232" spans="4:14" x14ac:dyDescent="0.25">
      <c r="D232" s="19"/>
      <c r="E232" s="4"/>
      <c r="F232" s="4"/>
      <c r="G232" s="4"/>
      <c r="H232" s="4"/>
      <c r="I232" s="4"/>
      <c r="J232" s="4"/>
      <c r="K232" s="4"/>
      <c r="L232" s="4"/>
      <c r="M232" s="4"/>
      <c r="N232" s="20"/>
    </row>
    <row r="233" spans="4:14" x14ac:dyDescent="0.25">
      <c r="D233" s="19"/>
      <c r="E233" s="4" t="s">
        <v>412</v>
      </c>
      <c r="F233" s="4">
        <f>IF($M$33&gt;4,1,0)</f>
        <v>0</v>
      </c>
      <c r="G233" s="4"/>
      <c r="H233" s="4" t="s">
        <v>413</v>
      </c>
      <c r="I233" s="4"/>
      <c r="J233" s="4"/>
      <c r="K233" s="4"/>
      <c r="L233" s="4"/>
      <c r="M233" s="4"/>
      <c r="N233" s="20"/>
    </row>
    <row r="234" spans="4:14" x14ac:dyDescent="0.25">
      <c r="D234" s="19"/>
      <c r="E234" s="4" t="s">
        <v>412</v>
      </c>
      <c r="F234" s="4">
        <f>IF($M$33&lt;4,1,0)</f>
        <v>0</v>
      </c>
      <c r="G234" s="4"/>
      <c r="H234" s="4" t="s">
        <v>414</v>
      </c>
      <c r="I234" s="4"/>
      <c r="J234" s="4"/>
      <c r="K234" s="4"/>
      <c r="L234" s="4"/>
      <c r="M234" s="4"/>
      <c r="N234" s="20"/>
    </row>
    <row r="235" spans="4:14" x14ac:dyDescent="0.25">
      <c r="D235" s="19"/>
      <c r="E235" s="4" t="s">
        <v>412</v>
      </c>
      <c r="F235" s="3">
        <f>SUM(F233:F234)</f>
        <v>0</v>
      </c>
      <c r="G235" s="4"/>
      <c r="H235" s="4" t="s">
        <v>242</v>
      </c>
      <c r="I235" s="4"/>
      <c r="J235" s="4"/>
      <c r="K235" s="4"/>
      <c r="L235" s="4"/>
      <c r="M235" s="4"/>
      <c r="N235" s="20"/>
    </row>
    <row r="236" spans="4:14" x14ac:dyDescent="0.25">
      <c r="D236" s="19"/>
      <c r="E236" s="4"/>
      <c r="G236" s="4"/>
      <c r="H236" s="4"/>
      <c r="I236" s="4"/>
      <c r="J236" s="4"/>
      <c r="K236" s="4"/>
      <c r="L236" s="4"/>
      <c r="M236" s="4"/>
      <c r="N236" s="20"/>
    </row>
    <row r="237" spans="4:14" x14ac:dyDescent="0.25">
      <c r="D237" s="19"/>
      <c r="E237" s="4" t="s">
        <v>415</v>
      </c>
      <c r="F237" s="3">
        <f>IF($M$20&lt;4,1,0)</f>
        <v>0</v>
      </c>
      <c r="G237" s="4"/>
      <c r="H237" s="4" t="s">
        <v>416</v>
      </c>
      <c r="I237" s="4"/>
      <c r="J237" s="4"/>
      <c r="K237" s="4"/>
      <c r="L237" s="4"/>
      <c r="M237" s="4"/>
      <c r="N237" s="20"/>
    </row>
    <row r="238" spans="4:14" x14ac:dyDescent="0.25">
      <c r="D238" s="19"/>
      <c r="E238" s="4" t="s">
        <v>415</v>
      </c>
      <c r="F238" s="3">
        <f>IF($M$20&gt;5,1,0)</f>
        <v>0</v>
      </c>
      <c r="G238" s="4"/>
      <c r="H238" s="4" t="s">
        <v>417</v>
      </c>
      <c r="I238" s="4"/>
      <c r="J238" s="4"/>
      <c r="K238" s="4"/>
      <c r="L238" s="4"/>
      <c r="M238" s="4"/>
      <c r="N238" s="20"/>
    </row>
    <row r="239" spans="4:14" x14ac:dyDescent="0.25">
      <c r="D239" s="19"/>
      <c r="E239" s="4" t="s">
        <v>415</v>
      </c>
      <c r="F239" s="3">
        <f>IF(J20=0,0,1)</f>
        <v>1</v>
      </c>
      <c r="G239" s="4"/>
      <c r="H239" s="4" t="s">
        <v>418</v>
      </c>
      <c r="I239" s="4"/>
      <c r="J239" s="4"/>
      <c r="K239" s="4"/>
      <c r="L239" s="4"/>
      <c r="M239" s="4"/>
      <c r="N239" s="20"/>
    </row>
    <row r="240" spans="4:14" x14ac:dyDescent="0.25">
      <c r="D240" s="19"/>
      <c r="E240" s="4" t="s">
        <v>415</v>
      </c>
      <c r="F240" s="3" t="b">
        <f>IF(F239=0,0,OR(F238,F237))</f>
        <v>0</v>
      </c>
      <c r="G240" s="4"/>
      <c r="H240" s="4" t="s">
        <v>242</v>
      </c>
      <c r="I240" s="4"/>
      <c r="J240" s="4"/>
      <c r="K240" s="4"/>
      <c r="L240" s="4"/>
      <c r="M240" s="4"/>
      <c r="N240" s="20"/>
    </row>
    <row r="241" spans="4:16" x14ac:dyDescent="0.25">
      <c r="D241" s="19"/>
      <c r="E241" s="4"/>
      <c r="G241" s="4"/>
      <c r="H241" s="4"/>
      <c r="I241" s="4"/>
      <c r="J241" s="4"/>
      <c r="K241" s="4"/>
      <c r="L241" s="4"/>
      <c r="M241" s="4"/>
      <c r="N241" s="20"/>
    </row>
    <row r="242" spans="4:16" x14ac:dyDescent="0.25">
      <c r="D242" s="19"/>
      <c r="E242" s="4" t="s">
        <v>419</v>
      </c>
      <c r="F242" s="3">
        <f>IF($E$23&lt;4,1,0)</f>
        <v>0</v>
      </c>
      <c r="G242" s="4">
        <f>IF($I$30="XT",1,0)</f>
        <v>0</v>
      </c>
      <c r="H242" s="3" t="b">
        <f>AND($G242,$F242)</f>
        <v>0</v>
      </c>
      <c r="I242" s="8" t="s">
        <v>420</v>
      </c>
      <c r="J242" s="4"/>
      <c r="K242" s="4" t="s">
        <v>421</v>
      </c>
      <c r="L242" s="4"/>
      <c r="M242" s="4"/>
      <c r="N242" s="20"/>
    </row>
    <row r="243" spans="4:16" x14ac:dyDescent="0.25">
      <c r="D243" s="19"/>
      <c r="E243" s="4" t="s">
        <v>419</v>
      </c>
      <c r="F243" s="3">
        <f>IF($E$23&gt;10,1,0)</f>
        <v>0</v>
      </c>
      <c r="G243" s="4">
        <f t="shared" ref="G243" si="3">IF($I$30="XT",1,0)</f>
        <v>0</v>
      </c>
      <c r="H243" s="3" t="b">
        <f t="shared" ref="H243:H245" si="4">AND($G243,$F243)</f>
        <v>0</v>
      </c>
      <c r="I243" s="8" t="s">
        <v>420</v>
      </c>
      <c r="J243" s="4"/>
      <c r="K243" s="4" t="s">
        <v>422</v>
      </c>
      <c r="L243" s="4"/>
      <c r="M243" s="4"/>
      <c r="N243" s="20"/>
    </row>
    <row r="244" spans="4:16" x14ac:dyDescent="0.25">
      <c r="D244" s="19"/>
      <c r="E244" s="4" t="s">
        <v>419</v>
      </c>
      <c r="F244" s="3">
        <f>IF($E$23&lt;10,1,0)</f>
        <v>0</v>
      </c>
      <c r="G244" s="4">
        <f>IF($I$30="HS",1,0)</f>
        <v>0</v>
      </c>
      <c r="H244" s="3" t="b">
        <f t="shared" si="4"/>
        <v>0</v>
      </c>
      <c r="I244" s="8" t="s">
        <v>423</v>
      </c>
      <c r="J244" s="4"/>
      <c r="K244" s="4" t="s">
        <v>424</v>
      </c>
      <c r="L244" s="4"/>
      <c r="M244" s="4"/>
      <c r="N244" s="20"/>
    </row>
    <row r="245" spans="4:16" x14ac:dyDescent="0.25">
      <c r="D245" s="19"/>
      <c r="E245" s="4" t="s">
        <v>419</v>
      </c>
      <c r="F245" s="3">
        <f>IF($E$23&gt;25,1,0)</f>
        <v>0</v>
      </c>
      <c r="G245" s="4">
        <f>IF($I$30="HS",1,0)</f>
        <v>0</v>
      </c>
      <c r="H245" s="3" t="b">
        <f t="shared" si="4"/>
        <v>0</v>
      </c>
      <c r="I245" s="8" t="s">
        <v>423</v>
      </c>
      <c r="J245" s="4"/>
      <c r="K245" s="4" t="s">
        <v>425</v>
      </c>
      <c r="L245" s="4"/>
      <c r="M245" s="4"/>
      <c r="N245" s="20"/>
    </row>
    <row r="246" spans="4:16" x14ac:dyDescent="0.25">
      <c r="D246" s="19"/>
      <c r="E246" s="4" t="s">
        <v>419</v>
      </c>
      <c r="G246" s="4"/>
      <c r="H246" s="4" t="b">
        <f>OR(H242:H245)</f>
        <v>0</v>
      </c>
      <c r="I246" s="4" t="s">
        <v>242</v>
      </c>
      <c r="J246" s="4"/>
      <c r="K246" s="4"/>
      <c r="L246" s="4"/>
      <c r="M246" s="4"/>
      <c r="N246" s="20"/>
    </row>
    <row r="247" spans="4:16" x14ac:dyDescent="0.25">
      <c r="D247" s="19"/>
      <c r="E247" s="4"/>
      <c r="G247" s="4"/>
      <c r="H247" s="4"/>
      <c r="I247" s="4"/>
      <c r="J247" s="4"/>
      <c r="K247" s="4"/>
      <c r="L247" s="4"/>
      <c r="M247" s="4"/>
      <c r="N247" s="20"/>
    </row>
    <row r="248" spans="4:16" x14ac:dyDescent="0.25">
      <c r="D248" s="19"/>
      <c r="E248" s="4" t="s">
        <v>426</v>
      </c>
      <c r="F248" s="3">
        <f>IF($E$22&gt;40,1,0)</f>
        <v>0</v>
      </c>
      <c r="G248" s="4"/>
      <c r="H248" s="4" t="s">
        <v>427</v>
      </c>
      <c r="I248" s="4"/>
      <c r="J248" s="4"/>
      <c r="K248" s="4"/>
      <c r="L248" s="4"/>
      <c r="M248" s="4"/>
      <c r="N248" s="20"/>
    </row>
    <row r="249" spans="4:16" x14ac:dyDescent="0.25">
      <c r="D249" s="19"/>
      <c r="E249" s="4"/>
      <c r="G249" s="4"/>
      <c r="H249" s="4"/>
      <c r="I249" s="4"/>
      <c r="J249" s="4"/>
      <c r="K249" s="4"/>
      <c r="L249" s="4"/>
      <c r="M249" s="4"/>
      <c r="N249" s="20"/>
    </row>
    <row r="250" spans="4:16" x14ac:dyDescent="0.25">
      <c r="D250" s="19"/>
      <c r="E250" s="4" t="s">
        <v>379</v>
      </c>
      <c r="F250" s="3">
        <f>IF($E$46&lt;32,1,0)</f>
        <v>0</v>
      </c>
      <c r="G250" s="4"/>
      <c r="H250" s="4" t="s">
        <v>380</v>
      </c>
      <c r="I250" s="4"/>
      <c r="J250" s="4"/>
      <c r="K250" s="4"/>
      <c r="L250" s="4"/>
      <c r="M250" s="4"/>
      <c r="N250" s="20"/>
    </row>
    <row r="251" spans="4:16" x14ac:dyDescent="0.25">
      <c r="D251" s="19"/>
      <c r="E251" s="4" t="s">
        <v>379</v>
      </c>
      <c r="F251" s="3">
        <f>IF($E$46&gt;100,1,0)</f>
        <v>0</v>
      </c>
      <c r="G251" s="4"/>
      <c r="H251" s="4" t="s">
        <v>381</v>
      </c>
      <c r="I251" s="4"/>
      <c r="J251" s="4"/>
      <c r="K251" s="4"/>
      <c r="L251" s="4"/>
      <c r="M251" s="4"/>
      <c r="N251" s="20"/>
    </row>
    <row r="252" spans="4:16" x14ac:dyDescent="0.25">
      <c r="D252" s="19"/>
      <c r="E252" s="4" t="s">
        <v>379</v>
      </c>
      <c r="F252" s="3">
        <f>SUM(F250:F251)</f>
        <v>0</v>
      </c>
      <c r="G252" s="4"/>
      <c r="H252" s="4" t="s">
        <v>382</v>
      </c>
      <c r="I252" s="4"/>
      <c r="J252" s="4"/>
      <c r="K252" s="4"/>
      <c r="L252" s="4"/>
      <c r="M252" s="4"/>
      <c r="N252" s="20"/>
    </row>
    <row r="253" spans="4:16" ht="14.4" thickBot="1" x14ac:dyDescent="0.3">
      <c r="D253" s="22"/>
      <c r="E253" s="23"/>
      <c r="F253" s="23"/>
      <c r="G253" s="23"/>
      <c r="H253" s="23"/>
      <c r="I253" s="23"/>
      <c r="J253" s="23"/>
      <c r="K253" s="23"/>
      <c r="L253" s="23"/>
      <c r="M253" s="23"/>
      <c r="N253" s="24"/>
    </row>
    <row r="255" spans="4:16" ht="14.4" thickBot="1" x14ac:dyDescent="0.3"/>
    <row r="256" spans="4:16" x14ac:dyDescent="0.25">
      <c r="D256" s="16" t="s">
        <v>428</v>
      </c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8"/>
    </row>
    <row r="257" spans="4:16" x14ac:dyDescent="0.25">
      <c r="D257" s="25" t="s">
        <v>207</v>
      </c>
      <c r="E257" s="26"/>
      <c r="F257" s="26" t="s">
        <v>203</v>
      </c>
      <c r="G257" s="26" t="s">
        <v>204</v>
      </c>
      <c r="H257" s="26" t="s">
        <v>205</v>
      </c>
      <c r="I257" s="26" t="s">
        <v>206</v>
      </c>
      <c r="J257" s="26" t="s">
        <v>211</v>
      </c>
      <c r="K257" s="26"/>
      <c r="L257" s="26"/>
      <c r="M257" s="26" t="s">
        <v>250</v>
      </c>
      <c r="N257" s="26"/>
      <c r="O257" s="26"/>
      <c r="P257" s="27"/>
    </row>
    <row r="258" spans="4:16" x14ac:dyDescent="0.25">
      <c r="D258" s="19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20"/>
    </row>
    <row r="259" spans="4:16" x14ac:dyDescent="0.25">
      <c r="D259" s="19" t="s">
        <v>208</v>
      </c>
      <c r="E259" s="4"/>
      <c r="F259" s="4" t="s">
        <v>209</v>
      </c>
      <c r="G259" s="4">
        <v>0</v>
      </c>
      <c r="H259" s="4">
        <v>40</v>
      </c>
      <c r="I259" s="29" t="s">
        <v>22</v>
      </c>
      <c r="J259" s="4" t="s">
        <v>29</v>
      </c>
      <c r="K259" s="4"/>
      <c r="L259" s="4"/>
      <c r="M259" s="4" t="s">
        <v>210</v>
      </c>
      <c r="N259" s="4"/>
      <c r="O259" s="4"/>
      <c r="P259" s="20"/>
    </row>
    <row r="260" spans="4:16" x14ac:dyDescent="0.25">
      <c r="D260" s="19" t="s">
        <v>208</v>
      </c>
      <c r="E260" s="4"/>
      <c r="F260" s="4"/>
      <c r="G260" s="4">
        <v>4</v>
      </c>
      <c r="H260" s="4">
        <v>40</v>
      </c>
      <c r="I260" s="29"/>
      <c r="J260" s="4" t="s">
        <v>429</v>
      </c>
      <c r="K260" s="4"/>
      <c r="L260" s="4"/>
      <c r="M260" s="4" t="s">
        <v>210</v>
      </c>
      <c r="N260" s="4"/>
      <c r="O260" s="4"/>
      <c r="P260" s="20"/>
    </row>
    <row r="261" spans="4:16" x14ac:dyDescent="0.25">
      <c r="D261" s="19" t="s">
        <v>430</v>
      </c>
      <c r="E261" s="4"/>
      <c r="F261" s="4"/>
      <c r="G261" s="4">
        <v>3</v>
      </c>
      <c r="H261" s="4">
        <v>10</v>
      </c>
      <c r="I261" s="29"/>
      <c r="J261" s="4" t="s">
        <v>397</v>
      </c>
      <c r="K261" s="4"/>
      <c r="L261" s="4"/>
      <c r="M261" s="4" t="s">
        <v>210</v>
      </c>
      <c r="N261" s="4"/>
      <c r="O261" s="4"/>
      <c r="P261" s="20"/>
    </row>
    <row r="262" spans="4:16" x14ac:dyDescent="0.25">
      <c r="D262" s="19" t="s">
        <v>431</v>
      </c>
      <c r="E262" s="4"/>
      <c r="F262" s="4"/>
      <c r="G262" s="4">
        <v>4</v>
      </c>
      <c r="H262" s="4">
        <v>10</v>
      </c>
      <c r="I262" s="29"/>
      <c r="J262" s="4" t="s">
        <v>432</v>
      </c>
      <c r="K262" s="4"/>
      <c r="L262" s="4"/>
      <c r="M262" s="4" t="s">
        <v>210</v>
      </c>
      <c r="N262" s="4"/>
      <c r="O262" s="4"/>
      <c r="P262" s="20"/>
    </row>
    <row r="263" spans="4:16" x14ac:dyDescent="0.25">
      <c r="D263" s="19" t="s">
        <v>212</v>
      </c>
      <c r="E263" s="4"/>
      <c r="F263" s="4"/>
      <c r="G263" s="4">
        <v>10</v>
      </c>
      <c r="H263" s="4">
        <v>25</v>
      </c>
      <c r="I263" s="29"/>
      <c r="J263" s="4" t="s">
        <v>433</v>
      </c>
      <c r="K263" s="4"/>
      <c r="L263" s="4"/>
      <c r="M263" s="4" t="s">
        <v>223</v>
      </c>
      <c r="N263" s="4"/>
      <c r="O263" s="4"/>
      <c r="P263" s="20"/>
    </row>
    <row r="264" spans="4:16" x14ac:dyDescent="0.25">
      <c r="D264" s="19" t="s">
        <v>213</v>
      </c>
      <c r="E264" s="4"/>
      <c r="F264" s="4" t="s">
        <v>209</v>
      </c>
      <c r="G264" s="4">
        <v>32</v>
      </c>
      <c r="H264" s="4">
        <v>100</v>
      </c>
      <c r="I264" s="29" t="s">
        <v>48</v>
      </c>
      <c r="J264" s="4" t="s">
        <v>214</v>
      </c>
      <c r="K264" s="4"/>
      <c r="L264" s="4"/>
      <c r="M264" s="4" t="s">
        <v>223</v>
      </c>
      <c r="N264" s="4"/>
      <c r="O264" s="4"/>
      <c r="P264" s="20"/>
    </row>
    <row r="265" spans="4:16" x14ac:dyDescent="0.25">
      <c r="D265" s="19"/>
      <c r="E265" s="4"/>
      <c r="F265" s="4"/>
      <c r="G265" s="4"/>
      <c r="H265" s="4"/>
      <c r="I265" s="29"/>
      <c r="J265" s="4"/>
      <c r="K265" s="4"/>
      <c r="L265" s="4"/>
      <c r="M265" s="4"/>
      <c r="N265" s="4"/>
      <c r="O265" s="4"/>
      <c r="P265" s="20"/>
    </row>
    <row r="266" spans="4:16" x14ac:dyDescent="0.25">
      <c r="D266" s="19" t="s">
        <v>224</v>
      </c>
      <c r="E266" s="4"/>
      <c r="F266" s="4" t="s">
        <v>225</v>
      </c>
      <c r="G266" s="4">
        <v>4</v>
      </c>
      <c r="H266" s="4">
        <v>5</v>
      </c>
      <c r="I266" s="29" t="s">
        <v>22</v>
      </c>
      <c r="J266" s="4" t="s">
        <v>227</v>
      </c>
      <c r="K266" s="4"/>
      <c r="L266" s="4"/>
      <c r="M266" s="4" t="s">
        <v>226</v>
      </c>
      <c r="N266" s="4"/>
      <c r="O266" s="4"/>
      <c r="P266" s="20"/>
    </row>
    <row r="267" spans="4:16" ht="14.4" thickBot="1" x14ac:dyDescent="0.3">
      <c r="D267" s="22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4"/>
    </row>
    <row r="268" spans="4:16" x14ac:dyDescent="0.25"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4:16" ht="14.4" thickBot="1" x14ac:dyDescent="0.3"/>
    <row r="270" spans="4:16" x14ac:dyDescent="0.25">
      <c r="D270" s="16" t="s">
        <v>434</v>
      </c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8"/>
    </row>
    <row r="271" spans="4:16" x14ac:dyDescent="0.25">
      <c r="D271" s="25" t="s">
        <v>207</v>
      </c>
      <c r="E271" s="26"/>
      <c r="F271" s="26" t="s">
        <v>203</v>
      </c>
      <c r="G271" s="26" t="s">
        <v>204</v>
      </c>
      <c r="H271" s="26" t="s">
        <v>205</v>
      </c>
      <c r="I271" s="26" t="s">
        <v>206</v>
      </c>
      <c r="J271" s="26" t="s">
        <v>211</v>
      </c>
      <c r="K271" s="26"/>
      <c r="L271" s="26"/>
      <c r="M271" s="26" t="s">
        <v>250</v>
      </c>
      <c r="N271" s="26"/>
      <c r="O271" s="26"/>
      <c r="P271" s="27"/>
    </row>
    <row r="272" spans="4:16" x14ac:dyDescent="0.25">
      <c r="D272" s="19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20"/>
    </row>
    <row r="273" spans="4:16" x14ac:dyDescent="0.25">
      <c r="D273" s="19" t="s">
        <v>208</v>
      </c>
      <c r="E273" s="4"/>
      <c r="F273" s="4" t="s">
        <v>209</v>
      </c>
      <c r="G273" s="4">
        <v>0</v>
      </c>
      <c r="H273" s="4">
        <v>50</v>
      </c>
      <c r="I273" s="29" t="s">
        <v>22</v>
      </c>
      <c r="J273" s="4" t="s">
        <v>29</v>
      </c>
      <c r="K273" s="4"/>
      <c r="L273" s="4"/>
      <c r="M273" s="4" t="s">
        <v>210</v>
      </c>
      <c r="N273" s="4"/>
      <c r="O273" s="4"/>
      <c r="P273" s="20"/>
    </row>
    <row r="274" spans="4:16" x14ac:dyDescent="0.25">
      <c r="D274" s="19" t="s">
        <v>208</v>
      </c>
      <c r="E274" s="4"/>
      <c r="F274" s="4"/>
      <c r="G274" s="4">
        <v>4</v>
      </c>
      <c r="H274" s="4">
        <v>50</v>
      </c>
      <c r="I274" s="29"/>
      <c r="J274" s="4" t="s">
        <v>429</v>
      </c>
      <c r="K274" s="4"/>
      <c r="L274" s="4"/>
      <c r="M274" s="4" t="s">
        <v>210</v>
      </c>
      <c r="N274" s="4"/>
      <c r="O274" s="4"/>
      <c r="P274" s="20"/>
    </row>
    <row r="275" spans="4:16" x14ac:dyDescent="0.25">
      <c r="D275" s="19" t="s">
        <v>430</v>
      </c>
      <c r="E275" s="4"/>
      <c r="F275" s="4"/>
      <c r="G275" s="4">
        <v>3</v>
      </c>
      <c r="H275" s="4">
        <v>10</v>
      </c>
      <c r="I275" s="29"/>
      <c r="J275" s="4" t="s">
        <v>397</v>
      </c>
      <c r="K275" s="4"/>
      <c r="L275" s="4"/>
      <c r="M275" s="4" t="s">
        <v>210</v>
      </c>
      <c r="N275" s="4"/>
      <c r="O275" s="4"/>
      <c r="P275" s="20"/>
    </row>
    <row r="276" spans="4:16" x14ac:dyDescent="0.25">
      <c r="D276" s="19" t="s">
        <v>431</v>
      </c>
      <c r="E276" s="4"/>
      <c r="F276" s="4"/>
      <c r="G276" s="4">
        <v>4</v>
      </c>
      <c r="H276" s="4">
        <v>10</v>
      </c>
      <c r="I276" s="29"/>
      <c r="J276" s="4" t="s">
        <v>432</v>
      </c>
      <c r="K276" s="4"/>
      <c r="L276" s="4"/>
      <c r="M276" s="4" t="s">
        <v>210</v>
      </c>
      <c r="N276" s="4"/>
      <c r="O276" s="4"/>
      <c r="P276" s="20"/>
    </row>
    <row r="277" spans="4:16" x14ac:dyDescent="0.25">
      <c r="D277" s="19" t="s">
        <v>212</v>
      </c>
      <c r="E277" s="4"/>
      <c r="F277" s="4"/>
      <c r="G277" s="4">
        <v>10</v>
      </c>
      <c r="H277" s="4">
        <v>25</v>
      </c>
      <c r="I277" s="29"/>
      <c r="J277" s="4" t="s">
        <v>433</v>
      </c>
      <c r="K277" s="4"/>
      <c r="L277" s="4"/>
      <c r="M277" s="4" t="s">
        <v>223</v>
      </c>
      <c r="N277" s="4"/>
      <c r="O277" s="4"/>
      <c r="P277" s="20"/>
    </row>
    <row r="278" spans="4:16" x14ac:dyDescent="0.25">
      <c r="D278" s="19" t="s">
        <v>213</v>
      </c>
      <c r="E278" s="4"/>
      <c r="F278" s="4" t="s">
        <v>209</v>
      </c>
      <c r="G278" s="4">
        <v>32</v>
      </c>
      <c r="H278" s="4">
        <v>100</v>
      </c>
      <c r="I278" s="29" t="s">
        <v>48</v>
      </c>
      <c r="J278" s="4" t="s">
        <v>214</v>
      </c>
      <c r="K278" s="4"/>
      <c r="L278" s="4"/>
      <c r="M278" s="4" t="s">
        <v>223</v>
      </c>
      <c r="N278" s="4"/>
      <c r="O278" s="4"/>
      <c r="P278" s="20"/>
    </row>
    <row r="279" spans="4:16" x14ac:dyDescent="0.25">
      <c r="D279" s="19"/>
      <c r="E279" s="4"/>
      <c r="F279" s="4"/>
      <c r="G279" s="4"/>
      <c r="H279" s="4"/>
      <c r="I279" s="29"/>
      <c r="J279" s="4"/>
      <c r="K279" s="4"/>
      <c r="L279" s="4"/>
      <c r="M279" s="4"/>
      <c r="N279" s="4"/>
      <c r="O279" s="4"/>
      <c r="P279" s="20"/>
    </row>
    <row r="280" spans="4:16" x14ac:dyDescent="0.25">
      <c r="D280" s="19" t="s">
        <v>224</v>
      </c>
      <c r="E280" s="4"/>
      <c r="F280" s="4" t="s">
        <v>225</v>
      </c>
      <c r="G280" s="4">
        <v>4</v>
      </c>
      <c r="H280" s="4">
        <v>5</v>
      </c>
      <c r="I280" s="29" t="s">
        <v>22</v>
      </c>
      <c r="J280" s="4" t="s">
        <v>227</v>
      </c>
      <c r="K280" s="4"/>
      <c r="L280" s="4"/>
      <c r="M280" s="4" t="s">
        <v>226</v>
      </c>
      <c r="N280" s="4"/>
      <c r="O280" s="4"/>
      <c r="P280" s="20"/>
    </row>
    <row r="281" spans="4:16" ht="14.4" thickBot="1" x14ac:dyDescent="0.3">
      <c r="D281" s="22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4"/>
    </row>
    <row r="282" spans="4:16" x14ac:dyDescent="0.25"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4:16" ht="14.4" thickBot="1" x14ac:dyDescent="0.3"/>
    <row r="284" spans="4:16" x14ac:dyDescent="0.25">
      <c r="D284" s="16" t="s">
        <v>435</v>
      </c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8"/>
    </row>
    <row r="285" spans="4:16" x14ac:dyDescent="0.25">
      <c r="D285" s="25" t="s">
        <v>207</v>
      </c>
      <c r="E285" s="26"/>
      <c r="F285" s="26" t="s">
        <v>203</v>
      </c>
      <c r="G285" s="26" t="s">
        <v>204</v>
      </c>
      <c r="H285" s="26" t="s">
        <v>205</v>
      </c>
      <c r="I285" s="26" t="s">
        <v>206</v>
      </c>
      <c r="J285" s="26" t="s">
        <v>211</v>
      </c>
      <c r="K285" s="26"/>
      <c r="L285" s="26"/>
      <c r="M285" s="26" t="s">
        <v>250</v>
      </c>
      <c r="N285" s="26"/>
      <c r="O285" s="26"/>
      <c r="P285" s="27"/>
    </row>
    <row r="286" spans="4:16" x14ac:dyDescent="0.25">
      <c r="D286" s="19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20"/>
    </row>
    <row r="287" spans="4:16" x14ac:dyDescent="0.25">
      <c r="D287" s="19" t="s">
        <v>208</v>
      </c>
      <c r="E287" s="4"/>
      <c r="F287" s="4" t="s">
        <v>209</v>
      </c>
      <c r="G287" s="4">
        <v>0</v>
      </c>
      <c r="H287" s="4">
        <v>100</v>
      </c>
      <c r="I287" s="29" t="s">
        <v>22</v>
      </c>
      <c r="J287" s="4" t="s">
        <v>29</v>
      </c>
      <c r="K287" s="4"/>
      <c r="L287" s="4"/>
      <c r="M287" s="4" t="s">
        <v>436</v>
      </c>
      <c r="N287" s="4"/>
      <c r="O287" s="4"/>
      <c r="P287" s="20"/>
    </row>
    <row r="288" spans="4:16" x14ac:dyDescent="0.25">
      <c r="D288" s="19" t="s">
        <v>208</v>
      </c>
      <c r="E288" s="4"/>
      <c r="F288" s="4" t="s">
        <v>209</v>
      </c>
      <c r="G288" s="4">
        <v>0</v>
      </c>
      <c r="H288" s="4">
        <v>80</v>
      </c>
      <c r="I288" s="29" t="s">
        <v>22</v>
      </c>
      <c r="J288" s="4" t="s">
        <v>29</v>
      </c>
      <c r="K288" s="4"/>
      <c r="L288" s="4"/>
      <c r="M288" s="4" t="s">
        <v>437</v>
      </c>
      <c r="N288" s="4"/>
      <c r="O288" s="4"/>
      <c r="P288" s="20"/>
    </row>
    <row r="289" spans="4:16" x14ac:dyDescent="0.25">
      <c r="D289" s="19" t="s">
        <v>208</v>
      </c>
      <c r="E289" s="4"/>
      <c r="F289" s="4"/>
      <c r="G289" s="4">
        <v>4</v>
      </c>
      <c r="H289" s="4">
        <v>100</v>
      </c>
      <c r="I289" s="29"/>
      <c r="J289" s="4" t="s">
        <v>429</v>
      </c>
      <c r="K289" s="4"/>
      <c r="L289" s="4"/>
      <c r="M289" s="4" t="s">
        <v>436</v>
      </c>
      <c r="N289" s="4"/>
      <c r="O289" s="4"/>
      <c r="P289" s="20"/>
    </row>
    <row r="290" spans="4:16" x14ac:dyDescent="0.25">
      <c r="D290" s="19" t="s">
        <v>208</v>
      </c>
      <c r="E290" s="4"/>
      <c r="F290" s="4"/>
      <c r="G290" s="4">
        <v>4</v>
      </c>
      <c r="H290" s="4">
        <v>80</v>
      </c>
      <c r="I290" s="29"/>
      <c r="J290" s="4" t="s">
        <v>429</v>
      </c>
      <c r="K290" s="4"/>
      <c r="L290" s="4"/>
      <c r="M290" s="4" t="s">
        <v>437</v>
      </c>
      <c r="N290" s="4"/>
      <c r="O290" s="4"/>
      <c r="P290" s="20"/>
    </row>
    <row r="291" spans="4:16" x14ac:dyDescent="0.25">
      <c r="D291" s="19" t="s">
        <v>430</v>
      </c>
      <c r="E291" s="4"/>
      <c r="F291" s="4"/>
      <c r="G291" s="4">
        <v>3</v>
      </c>
      <c r="H291" s="4">
        <v>10</v>
      </c>
      <c r="I291" s="29"/>
      <c r="J291" s="4" t="s">
        <v>397</v>
      </c>
      <c r="K291" s="4"/>
      <c r="L291" s="4"/>
      <c r="M291" s="4" t="s">
        <v>210</v>
      </c>
      <c r="N291" s="4"/>
      <c r="O291" s="4"/>
      <c r="P291" s="20"/>
    </row>
    <row r="292" spans="4:16" x14ac:dyDescent="0.25">
      <c r="D292" s="19" t="s">
        <v>431</v>
      </c>
      <c r="E292" s="4"/>
      <c r="F292" s="4"/>
      <c r="G292" s="4">
        <v>4</v>
      </c>
      <c r="H292" s="4">
        <v>10</v>
      </c>
      <c r="I292" s="29"/>
      <c r="J292" s="4" t="s">
        <v>432</v>
      </c>
      <c r="K292" s="4"/>
      <c r="L292" s="4"/>
      <c r="M292" s="4" t="s">
        <v>210</v>
      </c>
      <c r="N292" s="4"/>
      <c r="O292" s="4"/>
      <c r="P292" s="20"/>
    </row>
    <row r="293" spans="4:16" x14ac:dyDescent="0.25">
      <c r="D293" s="19" t="s">
        <v>212</v>
      </c>
      <c r="E293" s="4"/>
      <c r="F293" s="4"/>
      <c r="G293" s="4">
        <v>10</v>
      </c>
      <c r="H293" s="4">
        <v>25</v>
      </c>
      <c r="I293" s="29"/>
      <c r="J293" s="4" t="s">
        <v>433</v>
      </c>
      <c r="K293" s="4"/>
      <c r="L293" s="4"/>
      <c r="M293" s="4" t="s">
        <v>223</v>
      </c>
      <c r="N293" s="4"/>
      <c r="O293" s="4"/>
      <c r="P293" s="20"/>
    </row>
    <row r="294" spans="4:16" x14ac:dyDescent="0.25">
      <c r="D294" s="19" t="s">
        <v>213</v>
      </c>
      <c r="E294" s="4"/>
      <c r="F294" s="4" t="s">
        <v>209</v>
      </c>
      <c r="G294" s="4">
        <v>32</v>
      </c>
      <c r="H294" s="4">
        <v>100</v>
      </c>
      <c r="I294" s="29" t="s">
        <v>48</v>
      </c>
      <c r="J294" s="4" t="s">
        <v>214</v>
      </c>
      <c r="K294" s="4"/>
      <c r="L294" s="4"/>
      <c r="M294" s="4" t="s">
        <v>223</v>
      </c>
      <c r="N294" s="4"/>
      <c r="O294" s="4"/>
      <c r="P294" s="20"/>
    </row>
    <row r="295" spans="4:16" x14ac:dyDescent="0.25">
      <c r="D295" s="19"/>
      <c r="E295" s="4"/>
      <c r="F295" s="4"/>
      <c r="G295" s="4"/>
      <c r="H295" s="4"/>
      <c r="I295" s="29"/>
      <c r="J295" s="4"/>
      <c r="K295" s="4"/>
      <c r="L295" s="4"/>
      <c r="M295" s="4"/>
      <c r="N295" s="4"/>
      <c r="O295" s="4"/>
      <c r="P295" s="20"/>
    </row>
    <row r="296" spans="4:16" x14ac:dyDescent="0.25">
      <c r="D296" s="19" t="s">
        <v>224</v>
      </c>
      <c r="E296" s="4"/>
      <c r="F296" s="4" t="s">
        <v>225</v>
      </c>
      <c r="G296" s="4">
        <v>4</v>
      </c>
      <c r="H296" s="4">
        <v>5</v>
      </c>
      <c r="I296" s="29" t="s">
        <v>22</v>
      </c>
      <c r="J296" s="4" t="s">
        <v>227</v>
      </c>
      <c r="K296" s="4"/>
      <c r="L296" s="4"/>
      <c r="M296" s="4" t="s">
        <v>226</v>
      </c>
      <c r="N296" s="4"/>
      <c r="O296" s="4"/>
      <c r="P296" s="20"/>
    </row>
    <row r="297" spans="4:16" ht="14.4" thickBot="1" x14ac:dyDescent="0.3">
      <c r="D297" s="22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4"/>
    </row>
    <row r="299" spans="4:16" ht="14.4" thickBot="1" x14ac:dyDescent="0.3"/>
    <row r="300" spans="4:16" x14ac:dyDescent="0.25">
      <c r="D300" s="16" t="s">
        <v>438</v>
      </c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8"/>
    </row>
    <row r="301" spans="4:16" x14ac:dyDescent="0.25">
      <c r="D301" s="25" t="s">
        <v>207</v>
      </c>
      <c r="E301" s="26"/>
      <c r="F301" s="26" t="s">
        <v>203</v>
      </c>
      <c r="G301" s="26" t="s">
        <v>204</v>
      </c>
      <c r="H301" s="26" t="s">
        <v>205</v>
      </c>
      <c r="I301" s="26" t="s">
        <v>206</v>
      </c>
      <c r="J301" s="26" t="s">
        <v>211</v>
      </c>
      <c r="K301" s="26"/>
      <c r="L301" s="26"/>
      <c r="M301" s="26" t="s">
        <v>250</v>
      </c>
      <c r="N301" s="26"/>
      <c r="O301" s="26"/>
      <c r="P301" s="27"/>
    </row>
    <row r="302" spans="4:16" x14ac:dyDescent="0.25">
      <c r="D302" s="19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20"/>
    </row>
    <row r="303" spans="4:16" x14ac:dyDescent="0.25">
      <c r="D303" s="19" t="s">
        <v>208</v>
      </c>
      <c r="E303" s="4"/>
      <c r="F303" s="4" t="s">
        <v>209</v>
      </c>
      <c r="G303" s="4">
        <v>0</v>
      </c>
      <c r="H303" s="4">
        <v>50</v>
      </c>
      <c r="I303" s="29" t="s">
        <v>22</v>
      </c>
      <c r="J303" s="4" t="s">
        <v>29</v>
      </c>
      <c r="K303" s="4"/>
      <c r="L303" s="4"/>
      <c r="M303" s="4" t="s">
        <v>210</v>
      </c>
      <c r="N303" s="4"/>
      <c r="O303" s="4"/>
      <c r="P303" s="20"/>
    </row>
    <row r="304" spans="4:16" x14ac:dyDescent="0.25">
      <c r="D304" s="19" t="s">
        <v>208</v>
      </c>
      <c r="E304" s="4"/>
      <c r="F304" s="4"/>
      <c r="G304" s="4">
        <v>4</v>
      </c>
      <c r="H304" s="4">
        <v>50</v>
      </c>
      <c r="I304" s="29"/>
      <c r="J304" s="4" t="s">
        <v>429</v>
      </c>
      <c r="K304" s="4"/>
      <c r="L304" s="4"/>
      <c r="M304" s="4" t="s">
        <v>210</v>
      </c>
      <c r="N304" s="4"/>
      <c r="O304" s="4"/>
      <c r="P304" s="20"/>
    </row>
    <row r="305" spans="4:16" x14ac:dyDescent="0.25">
      <c r="D305" s="19" t="s">
        <v>430</v>
      </c>
      <c r="E305" s="4"/>
      <c r="F305" s="4"/>
      <c r="G305" s="4">
        <v>3</v>
      </c>
      <c r="H305" s="4">
        <v>10</v>
      </c>
      <c r="I305" s="29"/>
      <c r="J305" s="4" t="s">
        <v>397</v>
      </c>
      <c r="K305" s="4"/>
      <c r="L305" s="4"/>
      <c r="M305" s="4" t="s">
        <v>210</v>
      </c>
      <c r="N305" s="4"/>
      <c r="O305" s="4"/>
      <c r="P305" s="20"/>
    </row>
    <row r="306" spans="4:16" x14ac:dyDescent="0.25">
      <c r="D306" s="19" t="s">
        <v>431</v>
      </c>
      <c r="E306" s="4"/>
      <c r="F306" s="4"/>
      <c r="G306" s="4">
        <v>4</v>
      </c>
      <c r="H306" s="4">
        <v>10</v>
      </c>
      <c r="I306" s="29"/>
      <c r="J306" s="4" t="s">
        <v>432</v>
      </c>
      <c r="K306" s="4"/>
      <c r="L306" s="4"/>
      <c r="M306" s="4" t="s">
        <v>210</v>
      </c>
      <c r="N306" s="4"/>
      <c r="O306" s="4"/>
      <c r="P306" s="20"/>
    </row>
    <row r="307" spans="4:16" x14ac:dyDescent="0.25">
      <c r="D307" s="19" t="s">
        <v>212</v>
      </c>
      <c r="E307" s="4"/>
      <c r="F307" s="4"/>
      <c r="G307" s="4">
        <v>10</v>
      </c>
      <c r="H307" s="4">
        <v>25</v>
      </c>
      <c r="I307" s="29"/>
      <c r="J307" s="4" t="s">
        <v>433</v>
      </c>
      <c r="K307" s="4"/>
      <c r="L307" s="4"/>
      <c r="M307" s="4" t="s">
        <v>223</v>
      </c>
      <c r="N307" s="4"/>
      <c r="O307" s="4"/>
      <c r="P307" s="20"/>
    </row>
    <row r="308" spans="4:16" x14ac:dyDescent="0.25">
      <c r="D308" s="19" t="s">
        <v>213</v>
      </c>
      <c r="E308" s="4"/>
      <c r="F308" s="4" t="s">
        <v>209</v>
      </c>
      <c r="G308" s="4">
        <v>32</v>
      </c>
      <c r="H308" s="4">
        <v>100</v>
      </c>
      <c r="I308" s="29" t="s">
        <v>48</v>
      </c>
      <c r="J308" s="4" t="s">
        <v>214</v>
      </c>
      <c r="K308" s="4"/>
      <c r="L308" s="4"/>
      <c r="M308" s="4" t="s">
        <v>223</v>
      </c>
      <c r="N308" s="4"/>
      <c r="O308" s="4"/>
      <c r="P308" s="20"/>
    </row>
    <row r="309" spans="4:16" x14ac:dyDescent="0.25">
      <c r="D309" s="19"/>
      <c r="E309" s="4"/>
      <c r="F309" s="4"/>
      <c r="G309" s="4"/>
      <c r="H309" s="4"/>
      <c r="I309" s="29"/>
      <c r="J309" s="4"/>
      <c r="K309" s="4"/>
      <c r="L309" s="4"/>
      <c r="M309" s="4"/>
      <c r="N309" s="4"/>
      <c r="O309" s="4"/>
      <c r="P309" s="20"/>
    </row>
    <row r="310" spans="4:16" x14ac:dyDescent="0.25">
      <c r="D310" s="19" t="s">
        <v>224</v>
      </c>
      <c r="E310" s="4"/>
      <c r="F310" s="4" t="s">
        <v>225</v>
      </c>
      <c r="G310" s="4">
        <v>4</v>
      </c>
      <c r="H310" s="4">
        <v>5</v>
      </c>
      <c r="I310" s="29" t="s">
        <v>22</v>
      </c>
      <c r="J310" s="4" t="s">
        <v>227</v>
      </c>
      <c r="K310" s="4"/>
      <c r="L310" s="4"/>
      <c r="M310" s="4" t="s">
        <v>226</v>
      </c>
      <c r="N310" s="4"/>
      <c r="O310" s="4"/>
      <c r="P310" s="20"/>
    </row>
    <row r="311" spans="4:16" ht="14.4" thickBot="1" x14ac:dyDescent="0.3">
      <c r="D311" s="22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4"/>
    </row>
    <row r="312" spans="4:16" x14ac:dyDescent="0.25"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</sheetData>
  <sheetProtection algorithmName="SHA-512" hashValue="Z+xHP4xCWfX2EavEMWkw48begaOCHrpOQZec9+e1kx+P345sHgtD2QgV4irKUim8GktgpLHmjz0b5ZP4STvEpQ==" saltValue="GRUKbeGpLxw+G8LaG8gMSQ==" spinCount="100000" sheet="1" objects="1" scenarios="1"/>
  <protectedRanges>
    <protectedRange sqref="T34:W34" name="Range20"/>
    <protectedRange sqref="O79:S79" name="Range19"/>
    <protectedRange sqref="O56" name="Range15"/>
    <protectedRange sqref="Q45" name="Range14"/>
    <protectedRange sqref="I51" name="Range13"/>
    <protectedRange sqref="E46" name="Range12"/>
    <protectedRange sqref="E23" name="Range6"/>
    <protectedRange sqref="E22" name="Range5"/>
    <protectedRange sqref="L17" name="Range2"/>
    <protectedRange sqref="I10:J10" name="Range1"/>
    <protectedRange sqref="O17" name="Range3"/>
    <protectedRange sqref="R17" name="Range4"/>
    <protectedRange sqref="I30" name="Range7"/>
    <protectedRange sqref="G35" name="Range8"/>
    <protectedRange sqref="M35" name="Range9"/>
    <protectedRange sqref="R35" name="Range10"/>
    <protectedRange sqref="M75" name="Range16"/>
    <protectedRange sqref="Q65" name="Range17"/>
    <protectedRange sqref="Q66" name="Range18"/>
  </protectedRanges>
  <mergeCells count="3">
    <mergeCell ref="I10:J10"/>
    <mergeCell ref="T34:W34"/>
    <mergeCell ref="O79:S79"/>
  </mergeCells>
  <conditionalFormatting sqref="F230:F234 V43 F25 S46">
    <cfRule type="expression" dxfId="11" priority="15">
      <formula>#REF!</formula>
    </cfRule>
  </conditionalFormatting>
  <conditionalFormatting sqref="W68">
    <cfRule type="expression" dxfId="10" priority="10">
      <formula>$W$68&gt;#REF!</formula>
    </cfRule>
  </conditionalFormatting>
  <conditionalFormatting sqref="V37">
    <cfRule type="expression" dxfId="9" priority="24">
      <formula>$F$236</formula>
    </cfRule>
  </conditionalFormatting>
  <conditionalFormatting sqref="R49">
    <cfRule type="expression" dxfId="8" priority="33">
      <formula>$F$231</formula>
    </cfRule>
  </conditionalFormatting>
  <conditionalFormatting sqref="E46">
    <cfRule type="expression" dxfId="7" priority="34">
      <formula>$F$252</formula>
    </cfRule>
  </conditionalFormatting>
  <conditionalFormatting sqref="E31">
    <cfRule type="expression" dxfId="6" priority="35">
      <formula>$F$229</formula>
    </cfRule>
  </conditionalFormatting>
  <conditionalFormatting sqref="M20">
    <cfRule type="expression" dxfId="5" priority="36">
      <formula>$F$240</formula>
    </cfRule>
  </conditionalFormatting>
  <conditionalFormatting sqref="M33">
    <cfRule type="expression" dxfId="4" priority="38">
      <formula>$F$235</formula>
    </cfRule>
  </conditionalFormatting>
  <conditionalFormatting sqref="U19">
    <cfRule type="expression" dxfId="3" priority="39">
      <formula>$F$231</formula>
    </cfRule>
    <cfRule type="expression" dxfId="2" priority="40">
      <formula>#REF!</formula>
    </cfRule>
  </conditionalFormatting>
  <conditionalFormatting sqref="E23">
    <cfRule type="expression" dxfId="1" priority="41">
      <formula>$H$246</formula>
    </cfRule>
  </conditionalFormatting>
  <conditionalFormatting sqref="E22">
    <cfRule type="expression" dxfId="0" priority="42">
      <formula>$F$248</formula>
    </cfRule>
  </conditionalFormatting>
  <dataValidations count="14">
    <dataValidation type="list" allowBlank="1" showInputMessage="1" showErrorMessage="1" sqref="T34" xr:uid="{00000000-0002-0000-0000-000000000000}">
      <formula1>$O$152:$O$153</formula1>
    </dataValidation>
    <dataValidation type="list" allowBlank="1" showInputMessage="1" showErrorMessage="1" sqref="M35" xr:uid="{00000000-0002-0000-0000-000001000000}">
      <formula1>$I$135:$I$142</formula1>
    </dataValidation>
    <dataValidation type="list" allowBlank="1" showInputMessage="1" showErrorMessage="1" sqref="O79:S79" xr:uid="{00000000-0002-0000-0000-000002000000}">
      <formula1>$O$190:$O$198</formula1>
    </dataValidation>
    <dataValidation type="list" allowBlank="1" showInputMessage="1" showErrorMessage="1" sqref="G35" xr:uid="{00000000-0002-0000-0000-000003000000}">
      <formula1>$I$151:$I$152</formula1>
    </dataValidation>
    <dataValidation type="list" allowBlank="1" showInputMessage="1" showErrorMessage="1" sqref="I30" xr:uid="{00000000-0002-0000-0000-000004000000}">
      <formula1>$I$88:$I$91</formula1>
    </dataValidation>
    <dataValidation type="list" allowBlank="1" showInputMessage="1" showErrorMessage="1" sqref="I10" xr:uid="{00000000-0002-0000-0000-000005000000}">
      <formula1>$O$116:$O$123</formula1>
    </dataValidation>
    <dataValidation type="list" allowBlank="1" showInputMessage="1" showErrorMessage="1" sqref="I51" xr:uid="{00000000-0002-0000-0000-000006000000}">
      <formula1>$I$148:$I$149</formula1>
    </dataValidation>
    <dataValidation type="list" allowBlank="1" showInputMessage="1" showErrorMessage="1" sqref="R35" xr:uid="{00000000-0002-0000-0000-000007000000}">
      <formula1>$I$145:$I$146</formula1>
    </dataValidation>
    <dataValidation type="list" allowBlank="1" showInputMessage="1" showErrorMessage="1" sqref="O56" xr:uid="{00000000-0002-0000-0000-000008000000}">
      <formula1>$I$125:$I$132</formula1>
    </dataValidation>
    <dataValidation type="list" allowBlank="1" showInputMessage="1" showErrorMessage="1" sqref="R17" xr:uid="{00000000-0002-0000-0000-000009000000}">
      <formula1>$I$115:$I$122</formula1>
    </dataValidation>
    <dataValidation type="list" allowBlank="1" showInputMessage="1" showErrorMessage="1" sqref="O17" xr:uid="{00000000-0002-0000-0000-00000A000000}">
      <formula1>$I$105:$I$112</formula1>
    </dataValidation>
    <dataValidation type="list" allowBlank="1" showInputMessage="1" showErrorMessage="1" sqref="L17" xr:uid="{00000000-0002-0000-0000-00000B000000}">
      <formula1>$I$94:$I$101</formula1>
    </dataValidation>
    <dataValidation type="list" allowBlank="1" showInputMessage="1" showErrorMessage="1" sqref="Q45" xr:uid="{00000000-0002-0000-0000-00000C000000}">
      <formula1>$I$154:$I$157</formula1>
    </dataValidation>
    <dataValidation type="list" allowBlank="1" showInputMessage="1" showErrorMessage="1" sqref="S27 S30 S33 S36 S39 S42" xr:uid="{00000000-0002-0000-0000-00000D000000}">
      <formula1>$D$89:$D$224</formula1>
    </dataValidation>
  </dataValidation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40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P1" sqref="P1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K27" sqref="K27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PIC32MZ</vt:lpstr>
      <vt:lpstr>PIC32MX</vt:lpstr>
      <vt:lpstr>MX OSC Block Diag</vt:lpstr>
      <vt:lpstr>MZ Osc Block Diag</vt:lpstr>
      <vt:lpstr>MZ Clock to Periph Table</vt:lpstr>
    </vt:vector>
  </TitlesOfParts>
  <Company>Microchip Technology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Smith - C13193</dc:creator>
  <cp:lastModifiedBy>Robert Smith - C13193</cp:lastModifiedBy>
  <dcterms:created xsi:type="dcterms:W3CDTF">2014-01-15T14:00:47Z</dcterms:created>
  <dcterms:modified xsi:type="dcterms:W3CDTF">2022-04-27T22:40:32Z</dcterms:modified>
</cp:coreProperties>
</file>